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305" activeTab="1"/>
  </bookViews>
  <sheets>
    <sheet name="от 1 до 3 лет" sheetId="1" r:id="rId1"/>
    <sheet name="от 3 до 7 лет " sheetId="2" r:id="rId2"/>
    <sheet name="Ведомость 1-3" sheetId="3" state="hidden" r:id="rId3"/>
    <sheet name="Ведомость 3-7" sheetId="4" state="hidden" r:id="rId4"/>
  </sheets>
  <definedNames/>
  <calcPr fullCalcOnLoad="1"/>
</workbook>
</file>

<file path=xl/sharedStrings.xml><?xml version="1.0" encoding="utf-8"?>
<sst xmlns="http://schemas.openxmlformats.org/spreadsheetml/2006/main" count="999" uniqueCount="348">
  <si>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</si>
  <si>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</si>
  <si>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</si>
  <si>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</si>
  <si>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</si>
  <si>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</si>
  <si>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</si>
  <si>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</si>
  <si>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</si>
  <si>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Завтрак</t>
  </si>
  <si>
    <t>Итого за завтрак:</t>
  </si>
  <si>
    <t>Обед</t>
  </si>
  <si>
    <t>Хлеб ржаной</t>
  </si>
  <si>
    <t>Итого за обед:</t>
  </si>
  <si>
    <t>Итого за день 1:</t>
  </si>
  <si>
    <t>Итого за день 3:</t>
  </si>
  <si>
    <t>Итого за день 4:</t>
  </si>
  <si>
    <t>Итого за день 5:</t>
  </si>
  <si>
    <t>День 6</t>
  </si>
  <si>
    <t>Итого за обед</t>
  </si>
  <si>
    <t>«Утверждаю»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</si>
  <si>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</si>
  <si>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</si>
  <si>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</si>
  <si>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</si>
  <si>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</si>
  <si>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</si>
  <si>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Неделя 2</t>
  </si>
  <si>
    <t>Второй завтрак</t>
  </si>
  <si>
    <t xml:space="preserve">Второй завтрак 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</si>
  <si>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</si>
  <si>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</si>
  <si>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</si>
  <si>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</si>
  <si>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</si>
  <si>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2:</t>
  </si>
  <si>
    <t>День 10</t>
  </si>
  <si>
    <t>Итого за день 10:</t>
  </si>
  <si>
    <t>Второй завтрак:</t>
  </si>
  <si>
    <t>Итого за 6 день:</t>
  </si>
  <si>
    <t>Меню приготавливаемых блюд, в соответствии с СанПиН 2.3/2.4.3590-20</t>
  </si>
  <si>
    <t>Хлеб пшеничный</t>
  </si>
  <si>
    <t>Сок фруктовый</t>
  </si>
  <si>
    <t>150/20</t>
  </si>
  <si>
    <t>Кефир 2,5%</t>
  </si>
  <si>
    <t>150/10</t>
  </si>
  <si>
    <t>ЭЦ</t>
  </si>
  <si>
    <t>150/10/10</t>
  </si>
  <si>
    <t>180</t>
  </si>
  <si>
    <t>ТК №306</t>
  </si>
  <si>
    <t>Компот из кураги (курага, сахар)</t>
  </si>
  <si>
    <t>Итого за ужин:</t>
  </si>
  <si>
    <t>ТК №3</t>
  </si>
  <si>
    <t>350</t>
  </si>
  <si>
    <t>ТК № 392</t>
  </si>
  <si>
    <t>ТК №399</t>
  </si>
  <si>
    <t>ТК №13</t>
  </si>
  <si>
    <t>ТК №67</t>
  </si>
  <si>
    <t>ТК №321</t>
  </si>
  <si>
    <t>ТК №6</t>
  </si>
  <si>
    <t>ТК №9</t>
  </si>
  <si>
    <t>ТК №376</t>
  </si>
  <si>
    <t>ТК №401</t>
  </si>
  <si>
    <t>Возрастная категория:  1,5-3 лет</t>
  </si>
  <si>
    <t>ТК №393</t>
  </si>
  <si>
    <t>ТК №368</t>
  </si>
  <si>
    <t>ТК №93</t>
  </si>
  <si>
    <t>ТК №1</t>
  </si>
  <si>
    <t>Закуска порционная (помидоры свежие)</t>
  </si>
  <si>
    <t>ТК №235</t>
  </si>
  <si>
    <t>Обед:</t>
  </si>
  <si>
    <t>ТК №15</t>
  </si>
  <si>
    <t>ТК №398</t>
  </si>
  <si>
    <t>ТК №173</t>
  </si>
  <si>
    <t>Груша свежая</t>
  </si>
  <si>
    <t>ТК №372</t>
  </si>
  <si>
    <t>ТК №204</t>
  </si>
  <si>
    <t>ТК №87</t>
  </si>
  <si>
    <t>ТК №635</t>
  </si>
  <si>
    <t>ТК №313</t>
  </si>
  <si>
    <t>ТК №137</t>
  </si>
  <si>
    <t>ТК №397</t>
  </si>
  <si>
    <t>ТК №76</t>
  </si>
  <si>
    <t>ТК №125</t>
  </si>
  <si>
    <t>Возрастная категория: 1-3 лет</t>
  </si>
  <si>
    <t>№п/п</t>
  </si>
  <si>
    <t>Наименование группы пищевой продукции</t>
  </si>
  <si>
    <t>Количество пищевой продукции в нетто по дням в граммах на одного человека</t>
  </si>
  <si>
    <t>Отклонение от нормы в %</t>
  </si>
  <si>
    <t>Творог (5% - 9% м.д.ж.)</t>
  </si>
  <si>
    <t>Сметана</t>
  </si>
  <si>
    <t>Сыр</t>
  </si>
  <si>
    <t>Птица (куры, цыплята-бройлеры, индейка - потрошенная, 1 кат.)</t>
  </si>
  <si>
    <t>Субпродукты (печень, язык, сердце)</t>
  </si>
  <si>
    <t>Картофель</t>
  </si>
  <si>
    <t>Овощи (свежие, замороженные, консервированные), включая соленые и квашеные (не более 10% от общего количества овощей), в т.ч. томат-пюре, зелень, г</t>
  </si>
  <si>
    <t>Фрукты свежие</t>
  </si>
  <si>
    <t>Сухофрукты</t>
  </si>
  <si>
    <t>Соки фруктовые и овощные</t>
  </si>
  <si>
    <t>Витаминизированные напитки</t>
  </si>
  <si>
    <t>Крупы,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</si>
  <si>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</si>
  <si>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</si>
  <si>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</si>
  <si>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</si>
  <si>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</si>
  <si>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</si>
  <si>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</si>
  <si>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</t>
  </si>
  <si>
    <t>Сахар (в том числе для приготовления блюд и напитков, в случае использования пищевой продукции промышленного выпуска, содержащих сахар выдача сахара должна быть уменьшена в зависимости от его содержания в используемом готовой пищевой продукции)</t>
  </si>
  <si>
    <t>Дрожжи хлебопекарные</t>
  </si>
  <si>
    <t>Соль пищевая поваренная йодированная</t>
  </si>
  <si>
    <t>ТК №375</t>
  </si>
  <si>
    <t>ТК №215</t>
  </si>
  <si>
    <t>Йогурт 2,5%</t>
  </si>
  <si>
    <t>ТК №170</t>
  </si>
  <si>
    <t>10/20</t>
  </si>
  <si>
    <t>Закуска порционная (огурцы свежие)</t>
  </si>
  <si>
    <t>ТК №276</t>
  </si>
  <si>
    <t>Возрастная категория:  3-7 лет</t>
  </si>
  <si>
    <t>200</t>
  </si>
  <si>
    <t>160/5</t>
  </si>
  <si>
    <t>200/10/10</t>
  </si>
  <si>
    <t>200/10</t>
  </si>
  <si>
    <t>200/20</t>
  </si>
  <si>
    <t>ТК №57</t>
  </si>
  <si>
    <t>35/15</t>
  </si>
  <si>
    <t>Ведомость контроля за рационом питания с 1 по 10 день</t>
  </si>
  <si>
    <t>Прием пищи</t>
  </si>
  <si>
    <t>Доля суточной потребности в пищевых веществах и энергии</t>
  </si>
  <si>
    <t xml:space="preserve">Завтрак </t>
  </si>
  <si>
    <t>20% ±5</t>
  </si>
  <si>
    <t>(266-297)</t>
  </si>
  <si>
    <t>5% ±5</t>
  </si>
  <si>
    <t>(66,5-73,5)</t>
  </si>
  <si>
    <t>35% ±5</t>
  </si>
  <si>
    <t>(465,5-514,5)</t>
  </si>
  <si>
    <t>Среднее значение за период по завтракам:</t>
  </si>
  <si>
    <t>Среднее значение за период по обедам:</t>
  </si>
  <si>
    <t>Среднее значение за период по дням:</t>
  </si>
  <si>
    <t>(342-374)</t>
  </si>
  <si>
    <t>(85,5-94,5)</t>
  </si>
  <si>
    <t>(598-661)</t>
  </si>
  <si>
    <t>Крахмал</t>
  </si>
  <si>
    <t>Возрастная категория: 3-7 лет</t>
  </si>
  <si>
    <t>Мясо 1-й категории</t>
  </si>
  <si>
    <t>Рыба (филе), в т.ч. филе слабо- или малосоленое</t>
  </si>
  <si>
    <t>Яйцо, г</t>
  </si>
  <si>
    <t>Режим питания: Пятиразовый (Завтрак, 2 завтрак, обед, уплотненный полдник)</t>
  </si>
  <si>
    <t>Уплотненный полдник</t>
  </si>
  <si>
    <t>Итого за уплотненный полдник:</t>
  </si>
  <si>
    <t>Среднее значение за период по уплотненным полдникам:</t>
  </si>
  <si>
    <t>30% ±5</t>
  </si>
  <si>
    <t>(399-441)</t>
  </si>
  <si>
    <t>(513-567)</t>
  </si>
  <si>
    <t>380</t>
  </si>
  <si>
    <t>Кондитерское изделие (Печенье)</t>
  </si>
  <si>
    <t>-</t>
  </si>
  <si>
    <t>150</t>
  </si>
  <si>
    <t>120/30</t>
  </si>
  <si>
    <t>ТК №20</t>
  </si>
  <si>
    <t>ТК №8</t>
  </si>
  <si>
    <t>ТК №714</t>
  </si>
  <si>
    <t>Огурец соленый порциями</t>
  </si>
  <si>
    <t>ТК № 30</t>
  </si>
  <si>
    <t xml:space="preserve">Итого за второй завтрак </t>
  </si>
  <si>
    <t>ТК №316</t>
  </si>
  <si>
    <t>Суфле куриное (филе куриное, яйцо, молоко, мука пшеничная, масло сливочное, соль йодированная)</t>
  </si>
  <si>
    <t>ТК 310</t>
  </si>
  <si>
    <t>ТК №291</t>
  </si>
  <si>
    <t>МБДОУ № 6 «Светлячок»</t>
  </si>
  <si>
    <t xml:space="preserve">_________ О.А. Кулаковская </t>
  </si>
  <si>
    <t>ТК 513</t>
  </si>
  <si>
    <t>140</t>
  </si>
  <si>
    <t>Молоко 3,2%</t>
  </si>
  <si>
    <t>ТК №202</t>
  </si>
  <si>
    <t>ТК 189</t>
  </si>
  <si>
    <t>20/5/10</t>
  </si>
  <si>
    <t>ТК №36</t>
  </si>
  <si>
    <t>Тефтели из говядины (говядина, молоко, лук репчатый, яйцо, соль йодир)</t>
  </si>
  <si>
    <t>80/30</t>
  </si>
  <si>
    <t>100/30</t>
  </si>
  <si>
    <t>ТК №169</t>
  </si>
  <si>
    <t>ТК 394</t>
  </si>
  <si>
    <t>Фрукт (Яблоко свежее)</t>
  </si>
  <si>
    <t>Фрукт (Груша свежая)</t>
  </si>
  <si>
    <t>ТК №23</t>
  </si>
  <si>
    <t>ТК №409</t>
  </si>
  <si>
    <t>Кондитерское изделие (Пряник)</t>
  </si>
  <si>
    <t>80/20</t>
  </si>
  <si>
    <t>Суп картофельный с макаронными изделиями, с говядиной (говядина, картофель, макаронные изделия, морковь, лук репчатый, соль йодированная)</t>
  </si>
  <si>
    <t>ТК 100</t>
  </si>
  <si>
    <t>Икра кабачковая</t>
  </si>
  <si>
    <t>Простокваша фруктовая</t>
  </si>
  <si>
    <t>Котлета из говядины (говядина, хлеб пшеничный, сухари панировочные, масло подсолнечное)</t>
  </si>
  <si>
    <t>ТК 386</t>
  </si>
  <si>
    <t>Булочка молочная (молоко, мука пшеничная, дрожжи, масло сливочное, соль йодированная масло подсолнечное)</t>
  </si>
  <si>
    <t>ТК 477</t>
  </si>
  <si>
    <t>ТК №648</t>
  </si>
  <si>
    <t>310</t>
  </si>
  <si>
    <t>Фрукт (Нектарин свежий)</t>
  </si>
  <si>
    <t>ТК 50</t>
  </si>
  <si>
    <t>Биточки из говядины (говядина, хлеб пшеничный, сухари панировочные, масло подсолнечное)</t>
  </si>
  <si>
    <t xml:space="preserve">Закуска порционная (Кукуруза) </t>
  </si>
  <si>
    <t>ТК 266</t>
  </si>
  <si>
    <t>Салат из свеклы</t>
  </si>
  <si>
    <t>ТК 33</t>
  </si>
  <si>
    <t>Перловка отварная (крупа ячменная, масло сливочное, соль йодированная)</t>
  </si>
  <si>
    <t>Биточки рыбные (треска, хлеб пшеничный, соль йодированная, масло подсолнечное)</t>
  </si>
  <si>
    <t>Кондитерское изделие (Вафли)</t>
  </si>
  <si>
    <t>Каша пшенная с тыквой (крупа пшено, молоко 3,2%, сахар, соль йодированная)</t>
  </si>
  <si>
    <t>Фрукт (Слива свежая)</t>
  </si>
  <si>
    <t>ТК 160</t>
  </si>
  <si>
    <t>ТК №403</t>
  </si>
  <si>
    <t>150/20/10</t>
  </si>
  <si>
    <t>Свекольник с яйцом, со сметаной(1/2 яйца, свекла,картофель, морковь, лук репч., яйцо,томат паста, масло раст., соль йодир., сметана)</t>
  </si>
  <si>
    <t>ТК 306</t>
  </si>
  <si>
    <t>Каша гречневая молочная (крупа гречневая,молоко, сахар-песок)</t>
  </si>
  <si>
    <t>ТК 373/ ТК 528</t>
  </si>
  <si>
    <t>ТК№235</t>
  </si>
  <si>
    <t>Итого в среднем за период 7 дней:</t>
  </si>
  <si>
    <t>Компот из черной смородины (черная смородина, сахар-песок)</t>
  </si>
  <si>
    <t xml:space="preserve">________О.А. Кулаковская </t>
  </si>
  <si>
    <t>160</t>
  </si>
  <si>
    <t>410</t>
  </si>
  <si>
    <t>30/5/15</t>
  </si>
  <si>
    <t>130/30</t>
  </si>
  <si>
    <t>460</t>
  </si>
  <si>
    <t>181</t>
  </si>
  <si>
    <t>Кондитерское изделие (Печенье) 2 шт.</t>
  </si>
  <si>
    <t>200/20/10</t>
  </si>
  <si>
    <t>120/20</t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</si>
  <si>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</si>
  <si>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</si>
  <si>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r>
      <t xml:space="preserve">3-7 лет 1620 ккал диапазон </t>
    </r>
    <r>
      <rPr>
        <b/>
        <sz val="12"/>
        <color indexed="8"/>
        <rFont val="Calibri"/>
        <family val="2"/>
      </rPr>
      <t>±5 (1539 – 1701)</t>
    </r>
  </si>
  <si>
    <t>Батон с маслом (батон, масло сливочное 72,5%)</t>
  </si>
  <si>
    <t>Напиток кофейный с молоком (кофейный напиток, молоко 3,2%, сахар)</t>
  </si>
  <si>
    <t>Рис отварной (крупа рисовая, масло сливочное, соль йодир.)</t>
  </si>
  <si>
    <t>Компот из свежих ягод (клюква свежемороженая, сахар)</t>
  </si>
  <si>
    <t>Салат из свежих огурцов со сладким перцем (огрцы свежие, перец сладкий свежий, масло подсолнечное, соль йодир.)</t>
  </si>
  <si>
    <t>Жаркое по-домашнему из говядины (говядина 1 кат., картофель, лук репчатый, томатная паста, масло сливочное 72,5%, соль йодир.)</t>
  </si>
  <si>
    <t>Напиток из шиповника (шиповник (целые плоды), сахар)</t>
  </si>
  <si>
    <t>Чай с лимоном (чай-заварка, сахар, лимон)</t>
  </si>
  <si>
    <t>Кисель ягодный (кисель концентрат, сахар)</t>
  </si>
  <si>
    <t>Рагу из овощей с соусом (картофель, морковь, лук репчатый, капуста белокочанная, масло подсолнечное, сметана 15%, чеснок, мука пшеничная, соль йодир.)</t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</si>
  <si>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</si>
  <si>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 xml:space="preserve">Салат из свежей капусты и моркови </t>
    </r>
    <r>
      <rPr>
        <sz val="10"/>
        <color indexed="8"/>
        <rFont val="Calibri"/>
        <family val="2"/>
      </rPr>
      <t>(капуста белокочанная, морковь, лук репчатый, сахар, масло подсолнечное)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</si>
  <si>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</si>
  <si>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</si>
  <si>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</si>
  <si>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</si>
  <si>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</si>
  <si>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</si>
  <si>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Салат из свеклы с солеными огурцами </t>
    </r>
    <r>
      <rPr>
        <sz val="10"/>
        <color indexed="8"/>
        <rFont val="Calibri"/>
        <family val="2"/>
      </rPr>
      <t>(свекла, огурцы соленые, горошек зеленый консервир., лук репчатый, масло растительное)</t>
    </r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</si>
  <si>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</si>
  <si>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</si>
  <si>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</si>
  <si>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молоко, тыква, сахар, соль йодированная)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</si>
  <si>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</si>
  <si>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</si>
  <si>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Птица отварная </t>
    </r>
    <r>
      <rPr>
        <sz val="10"/>
        <color indexed="8"/>
        <rFont val="Calibri"/>
        <family val="2"/>
      </rPr>
      <t>(курица)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</si>
  <si>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</si>
  <si>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</si>
  <si>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Салат из свежих помидоров и огурцов </t>
    </r>
    <r>
      <rPr>
        <sz val="10"/>
        <color indexed="8"/>
        <rFont val="Calibri"/>
        <family val="2"/>
      </rPr>
      <t>(помидоры свежие, огурцы свежие, лук репчатый, масло подсолнечное, укроп, петрушка, соль йодир.)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</si>
  <si>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</si>
  <si>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</si>
  <si>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</si>
  <si>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</si>
  <si>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</si>
  <si>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</si>
  <si>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</si>
  <si>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</si>
  <si>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</si>
  <si>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Гуляш из говядины </t>
    </r>
    <r>
      <rPr>
        <sz val="10"/>
        <color indexed="8"/>
        <rFont val="Calibri"/>
        <family val="2"/>
      </rPr>
      <t>(говядина, морковь, лук репч., томат паста, масло слив., соль йод.)</t>
    </r>
  </si>
  <si>
    <r>
      <t xml:space="preserve">Картофель отварной </t>
    </r>
    <r>
      <rPr>
        <sz val="10"/>
        <color indexed="8"/>
        <rFont val="Calibri"/>
        <family val="2"/>
      </rPr>
      <t>(картофель, масло сливочное 72,5%, соль йодир.)</t>
    </r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</si>
  <si>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</si>
  <si>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</si>
  <si>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 xml:space="preserve">Салат из свежей капусты и моркови </t>
    </r>
    <r>
      <rPr>
        <sz val="10"/>
        <color indexed="8"/>
        <rFont val="Calibri"/>
        <family val="2"/>
      </rPr>
      <t>(капуста белокочанная, морковь, лук репчатый, сахар, масло подсолнечное)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</si>
  <si>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</si>
  <si>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</si>
  <si>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</si>
  <si>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</si>
  <si>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</si>
  <si>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</si>
  <si>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Салат из свеклы с солеными огурцами </t>
    </r>
    <r>
      <rPr>
        <sz val="10"/>
        <color indexed="8"/>
        <rFont val="Calibri"/>
        <family val="2"/>
      </rPr>
      <t>(свекла, огурцы соленые, горошек зеленый консервир., лук репчатый, масло растительное)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</si>
  <si>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</si>
  <si>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</si>
  <si>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</si>
  <si>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</si>
  <si>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Птица отварная </t>
    </r>
    <r>
      <rPr>
        <sz val="10"/>
        <color indexed="8"/>
        <rFont val="Calibri"/>
        <family val="2"/>
      </rPr>
      <t>(курица)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</si>
  <si>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</si>
  <si>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</si>
  <si>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Салат из свежих помидоров и огурцов </t>
    </r>
    <r>
      <rPr>
        <sz val="10"/>
        <color indexed="8"/>
        <rFont val="Calibri"/>
        <family val="2"/>
      </rPr>
      <t>(помидоры свежие, огурцы свежие, лук репчатый, масло подсолнечное, укроп, петрушка, соль йодир.)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</si>
  <si>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</si>
  <si>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</si>
  <si>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</si>
  <si>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</si>
  <si>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</si>
  <si>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Каша ДРУЖБА </t>
    </r>
    <r>
      <rPr>
        <sz val="10"/>
        <color indexed="8"/>
        <rFont val="Calibri"/>
        <family val="2"/>
      </rPr>
      <t>(крупа рисовая, пшено, молоко, сахар-песок, соль йод.)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</si>
  <si>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</si>
  <si>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</si>
  <si>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</si>
  <si>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Гуляш из говядины </t>
    </r>
    <r>
      <rPr>
        <sz val="10"/>
        <color indexed="8"/>
        <rFont val="Calibri"/>
        <family val="2"/>
      </rPr>
      <t>(говядина, морковь, лук репч., томат паста, масло слив., соль йод.)</t>
    </r>
  </si>
  <si>
    <r>
      <t xml:space="preserve">Картофель отварной </t>
    </r>
    <r>
      <rPr>
        <sz val="10"/>
        <color indexed="8"/>
        <rFont val="Calibri"/>
        <family val="2"/>
      </rPr>
      <t>(картофель, масло сливочное 72,5%, соль йодир.)</t>
    </r>
  </si>
  <si>
    <r>
      <t xml:space="preserve">1-3 лет 1260 ккал диапазон </t>
    </r>
    <r>
      <rPr>
        <b/>
        <sz val="12"/>
        <color indexed="8"/>
        <rFont val="Calibri"/>
        <family val="2"/>
      </rPr>
      <t>±5 (1197 – 1323)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</si>
  <si>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</si>
  <si>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t>ТК 375</t>
  </si>
  <si>
    <t>ТК №585</t>
  </si>
  <si>
    <t>Биточки рыбные (треска, хлеб пшеничный, молоко, соль йодированная, масло подсолнечное)</t>
  </si>
  <si>
    <t>ТК №255</t>
  </si>
  <si>
    <t>Тефтели из говядины (говядина, хлеб пшеничный, лук репчатый, яйцо, соль йодир)</t>
  </si>
  <si>
    <t>ТК №394</t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</si>
  <si>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</si>
  <si>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t>ТК №136</t>
  </si>
  <si>
    <t>ТК №111/627</t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</si>
  <si>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</si>
  <si>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t>ТК №10</t>
  </si>
  <si>
    <t>ТК № 10</t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</si>
  <si>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</si>
  <si>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</si>
  <si>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</si>
  <si>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ДРУЖБА с маслом сливочным </t>
    </r>
    <r>
      <rPr>
        <sz val="10"/>
        <color indexed="8"/>
        <rFont val="Calibri"/>
        <family val="2"/>
      </rPr>
      <t>(крупа рисовая, пшено, молоко 3,2%, сахар-песок, соль йод., масло сливочное 72,5%) 160/5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</si>
  <si>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</si>
  <si>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</si>
  <si>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</si>
  <si>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 3,2%, тыква, сахар, соль йодированная)</t>
    </r>
  </si>
  <si>
    <t>Салат из свежих огурцов со сладким перцем (огурцы свежие, перец сладкий свежий, масло подсолнечное, соль йодир.)</t>
  </si>
  <si>
    <t>Оладьи со сгущенным молоком (мука пшеничная, яйца, молоко, сахар – песок, дрожжи прессованные, соль,  масло растительное, сгущенное молоко)</t>
  </si>
  <si>
    <t>Икра кабачковая порциями</t>
  </si>
  <si>
    <t>Салат из моркови и яблок (морковь, яблоки свежие, масло растительное)</t>
  </si>
  <si>
    <t xml:space="preserve">Закуска порционная (Кукуруза консерв.) </t>
  </si>
  <si>
    <t>Салат из свеклы (свекла, масло растительное)</t>
  </si>
  <si>
    <t>Икра кабачковая (порциями)</t>
  </si>
  <si>
    <t>Свекольник с яйцом, со сметаной (1/2 яйца, свекла,картофель, морковь, лук репч., яйцо,томат паста, масло раст., соль йодир., сметана)</t>
  </si>
  <si>
    <t>Голубцы ленивые (капуста белокочанная, крупа рисовая, говядина, масло подсолнечное, мука пшеничная, соль йодированная)</t>
  </si>
  <si>
    <t>Ватрушка с повидлом (мука пшеничная, сахар-песок, масло сливочное, яйцо куриное, соль йодированная, дрожжи прессованные, повидло)</t>
  </si>
  <si>
    <t>Сырники запеченные с вареньем (творог 9%, яйца, мука пшеничная, сахар-песок, масло растительное, варенье)</t>
  </si>
  <si>
    <t>Запеканка из творога с повидлом (творог 9%, яйца, мука пшеничная или крупа манная, сахар – песок, сухари панировочные, сметана, масло сливочное, повидло)</t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</si>
  <si>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</si>
  <si>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</si>
  <si>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t>ТК№163</t>
  </si>
  <si>
    <t>ТК №216</t>
  </si>
  <si>
    <t>ТК № 171</t>
  </si>
  <si>
    <t>В среднем за неделю (10 дней)</t>
  </si>
  <si>
    <t>Норма продукции, г</t>
  </si>
  <si>
    <r>
      <t>Молоко, молочная и кисломолочная продукция</t>
    </r>
    <r>
      <rPr>
        <sz val="12"/>
        <color indexed="10"/>
        <rFont val="Calibri"/>
        <family val="2"/>
      </rPr>
      <t xml:space="preserve"> (частичная замена на сыр)</t>
    </r>
  </si>
  <si>
    <t>ТК №250</t>
  </si>
  <si>
    <t>Рыба, запеченная с картофелем (минтай, картофель, сыр, масло сливочное, мука, масло растительное, соль йодир.)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</si>
</sst>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  <numFmt numFmtId="181" formatCode="#,##0.00\ &quot;₽&quot;"/>
    <numFmt numFmtId="18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2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2" fontId="3" fillId="8" borderId="1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0" fontId="8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53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8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2" fontId="12" fillId="8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 shrinkToFit="1"/>
    </xf>
    <xf numFmtId="0" fontId="57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57" fillId="0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center" vertical="center" wrapText="1"/>
    </xf>
    <xf numFmtId="9" fontId="57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 shrinkToFit="1"/>
    </xf>
    <xf numFmtId="0" fontId="57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2" fontId="8" fillId="0" borderId="10" xfId="53" applyNumberFormat="1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justify" vertical="center"/>
    </xf>
    <xf numFmtId="0" fontId="57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2" fontId="12" fillId="8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9" fontId="57" fillId="0" borderId="14" xfId="0" applyNumberFormat="1" applyFont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9" fillId="38" borderId="20" xfId="0" applyFont="1" applyFill="1" applyBorder="1" applyAlignment="1">
      <alignment horizontal="left" vertical="top" wrapText="1"/>
    </xf>
    <xf numFmtId="0" fontId="59" fillId="38" borderId="21" xfId="0" applyFont="1" applyFill="1" applyBorder="1" applyAlignment="1">
      <alignment horizontal="left" vertical="top" wrapText="1"/>
    </xf>
    <xf numFmtId="0" fontId="59" fillId="38" borderId="17" xfId="0" applyFont="1" applyFill="1" applyBorder="1" applyAlignment="1">
      <alignment horizontal="left" vertical="top" wrapText="1"/>
    </xf>
    <xf numFmtId="0" fontId="59" fillId="38" borderId="18" xfId="0" applyFont="1" applyFill="1" applyBorder="1" applyAlignment="1">
      <alignment horizontal="left" vertical="top" wrapText="1"/>
    </xf>
    <xf numFmtId="0" fontId="58" fillId="8" borderId="11" xfId="0" applyFont="1" applyFill="1" applyBorder="1" applyAlignment="1">
      <alignment/>
    </xf>
    <xf numFmtId="0" fontId="58" fillId="8" borderId="12" xfId="0" applyFont="1" applyFill="1" applyBorder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8" fillId="8" borderId="11" xfId="0" applyFont="1" applyFill="1" applyBorder="1" applyAlignment="1">
      <alignment/>
    </xf>
    <xf numFmtId="0" fontId="58" fillId="8" borderId="12" xfId="0" applyFont="1" applyFill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9" fontId="57" fillId="0" borderId="10" xfId="0" applyNumberFormat="1" applyFont="1" applyBorder="1" applyAlignment="1">
      <alignment horizontal="center" vertical="center" wrapText="1"/>
    </xf>
    <xf numFmtId="0" fontId="59" fillId="38" borderId="10" xfId="0" applyFont="1" applyFill="1" applyBorder="1" applyAlignment="1">
      <alignment horizontal="left" vertical="top" wrapText="1"/>
    </xf>
    <xf numFmtId="0" fontId="57" fillId="38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="80" zoomScaleNormal="80" zoomScalePageLayoutView="0" workbookViewId="0" topLeftCell="A109">
      <selection activeCell="L18" sqref="L18"/>
    </sheetView>
  </sheetViews>
  <sheetFormatPr defaultColWidth="9.140625" defaultRowHeight="15"/>
  <cols>
    <col min="1" max="1" width="17.28125" style="149" customWidth="1"/>
    <col min="2" max="2" width="48.00390625" style="150" customWidth="1"/>
    <col min="3" max="3" width="11.57421875" style="149" bestFit="1" customWidth="1"/>
    <col min="4" max="7" width="10.140625" style="149" customWidth="1"/>
    <col min="8" max="8" width="12.8515625" style="149" customWidth="1"/>
  </cols>
  <sheetData>
    <row r="1" spans="1:9" ht="15.75">
      <c r="A1" s="21"/>
      <c r="B1" s="123"/>
      <c r="C1" s="124"/>
      <c r="D1" s="125"/>
      <c r="E1" s="125"/>
      <c r="F1" s="125"/>
      <c r="G1" s="151" t="s">
        <v>20</v>
      </c>
      <c r="H1" s="152"/>
      <c r="I1" s="119"/>
    </row>
    <row r="2" spans="1:9" ht="15.75">
      <c r="A2" s="21"/>
      <c r="B2" s="123"/>
      <c r="C2" s="124"/>
      <c r="D2" s="125"/>
      <c r="E2" s="125"/>
      <c r="F2" s="125"/>
      <c r="G2" s="234" t="s">
        <v>170</v>
      </c>
      <c r="H2" s="235"/>
      <c r="I2" s="119"/>
    </row>
    <row r="3" spans="1:9" ht="15.75">
      <c r="A3" s="21"/>
      <c r="B3" s="123"/>
      <c r="C3" s="124"/>
      <c r="D3" s="125"/>
      <c r="E3" s="125"/>
      <c r="F3" s="125"/>
      <c r="G3" s="151" t="s">
        <v>171</v>
      </c>
      <c r="H3" s="152"/>
      <c r="I3" s="119"/>
    </row>
    <row r="4" spans="1:8" ht="15.75">
      <c r="A4" s="21"/>
      <c r="B4" s="123"/>
      <c r="C4" s="124"/>
      <c r="D4" s="125"/>
      <c r="E4" s="125"/>
      <c r="F4" s="125"/>
      <c r="G4" s="120"/>
      <c r="H4" s="50"/>
    </row>
    <row r="5" spans="1:8" ht="18.75">
      <c r="A5" s="236" t="s">
        <v>40</v>
      </c>
      <c r="B5" s="237"/>
      <c r="C5" s="237"/>
      <c r="D5" s="237"/>
      <c r="E5" s="237"/>
      <c r="F5" s="237"/>
      <c r="G5" s="237"/>
      <c r="H5" s="238"/>
    </row>
    <row r="6" spans="1:8" ht="15.75">
      <c r="A6" s="239" t="s">
        <v>63</v>
      </c>
      <c r="B6" s="239"/>
      <c r="C6" s="185"/>
      <c r="D6" s="121"/>
      <c r="E6" s="121"/>
      <c r="F6" s="121"/>
      <c r="G6" s="121"/>
      <c r="H6" s="186"/>
    </row>
    <row r="7" spans="1:8" ht="15.75">
      <c r="A7" s="240" t="s">
        <v>2</v>
      </c>
      <c r="B7" s="241" t="s">
        <v>0</v>
      </c>
      <c r="C7" s="240" t="s">
        <v>1</v>
      </c>
      <c r="D7" s="241" t="s">
        <v>3</v>
      </c>
      <c r="E7" s="241"/>
      <c r="F7" s="241"/>
      <c r="G7" s="2"/>
      <c r="H7" s="240" t="s">
        <v>7</v>
      </c>
    </row>
    <row r="8" spans="1:8" ht="15.75">
      <c r="A8" s="240"/>
      <c r="B8" s="241"/>
      <c r="C8" s="240"/>
      <c r="D8" s="4" t="s">
        <v>4</v>
      </c>
      <c r="E8" s="4" t="s">
        <v>5</v>
      </c>
      <c r="F8" s="4" t="s">
        <v>6</v>
      </c>
      <c r="G8" s="2" t="s">
        <v>46</v>
      </c>
      <c r="H8" s="240"/>
    </row>
    <row r="9" spans="1:8" ht="15.75">
      <c r="A9" s="242" t="s">
        <v>8</v>
      </c>
      <c r="B9" s="242"/>
      <c r="C9" s="242"/>
      <c r="D9" s="242"/>
      <c r="E9" s="242"/>
      <c r="F9" s="242"/>
      <c r="G9" s="242"/>
      <c r="H9" s="242"/>
    </row>
    <row r="10" spans="1:8" ht="15.75">
      <c r="A10" s="243" t="s">
        <v>30</v>
      </c>
      <c r="B10" s="243"/>
      <c r="C10" s="243"/>
      <c r="D10" s="243"/>
      <c r="E10" s="243"/>
      <c r="F10" s="243"/>
      <c r="G10" s="243"/>
      <c r="H10" s="243"/>
    </row>
    <row r="11" spans="1:8" ht="25.5">
      <c r="A11" s="240" t="s">
        <v>9</v>
      </c>
      <c r="B11" s="126" t="s">
        <v>276</v>
      </c>
      <c r="C11" s="187" t="s">
        <v>173</v>
      </c>
      <c r="D11" s="6">
        <f>4.662541*C11/130</f>
        <v>5.021198</v>
      </c>
      <c r="E11" s="6">
        <f>2.221648*C11/130</f>
        <v>2.3925440000000004</v>
      </c>
      <c r="F11" s="6">
        <f>29.896685*C11/130</f>
        <v>32.19643</v>
      </c>
      <c r="G11" s="6">
        <v>105</v>
      </c>
      <c r="H11" s="218" t="s">
        <v>340</v>
      </c>
    </row>
    <row r="12" spans="1:8" ht="15.75">
      <c r="A12" s="240"/>
      <c r="B12" s="127" t="s">
        <v>235</v>
      </c>
      <c r="C12" s="187" t="s">
        <v>116</v>
      </c>
      <c r="D12" s="6">
        <v>1.58</v>
      </c>
      <c r="E12" s="6">
        <v>7.83</v>
      </c>
      <c r="F12" s="6">
        <v>10.41</v>
      </c>
      <c r="G12" s="10">
        <v>118.5</v>
      </c>
      <c r="H12" s="188" t="s">
        <v>67</v>
      </c>
    </row>
    <row r="13" spans="1:8" ht="25.5">
      <c r="A13" s="240"/>
      <c r="B13" s="127" t="s">
        <v>236</v>
      </c>
      <c r="C13" s="56" t="s">
        <v>48</v>
      </c>
      <c r="D13" s="14">
        <f>1.62432*C13/150</f>
        <v>1.9491839999999998</v>
      </c>
      <c r="E13" s="14">
        <f>1.66144*C13/150</f>
        <v>1.9937280000000002</v>
      </c>
      <c r="F13" s="14">
        <f>9.03266*C13/150</f>
        <v>10.839191999999999</v>
      </c>
      <c r="G13" s="14">
        <f>57.58088*C13/150</f>
        <v>69.097056</v>
      </c>
      <c r="H13" s="133" t="s">
        <v>172</v>
      </c>
    </row>
    <row r="14" spans="1:8" ht="15.75">
      <c r="A14" s="244" t="s">
        <v>10</v>
      </c>
      <c r="B14" s="244"/>
      <c r="C14" s="189" t="s">
        <v>53</v>
      </c>
      <c r="D14" s="8">
        <f>SUM(D11:D13)</f>
        <v>8.550381999999999</v>
      </c>
      <c r="E14" s="8">
        <f>SUM(E11:E13)</f>
        <v>12.216272000000002</v>
      </c>
      <c r="F14" s="8">
        <f>SUM(F11:F13)</f>
        <v>53.445622</v>
      </c>
      <c r="G14" s="8">
        <f>SUM(G11:G13)</f>
        <v>292.597056</v>
      </c>
      <c r="H14" s="188"/>
    </row>
    <row r="15" spans="1:8" ht="15.75">
      <c r="A15" s="190" t="s">
        <v>38</v>
      </c>
      <c r="B15" s="128" t="s">
        <v>42</v>
      </c>
      <c r="C15" s="2">
        <v>150</v>
      </c>
      <c r="D15" s="9">
        <v>0.75</v>
      </c>
      <c r="E15" s="9">
        <v>0.15</v>
      </c>
      <c r="F15" s="9">
        <v>15.15</v>
      </c>
      <c r="G15" s="9">
        <v>69</v>
      </c>
      <c r="H15" s="188" t="s">
        <v>55</v>
      </c>
    </row>
    <row r="16" spans="1:8" ht="44.25" customHeight="1">
      <c r="A16" s="241" t="s">
        <v>11</v>
      </c>
      <c r="B16" s="129" t="s">
        <v>277</v>
      </c>
      <c r="C16" s="3">
        <v>30</v>
      </c>
      <c r="D16" s="6">
        <v>0.5533845000000002</v>
      </c>
      <c r="E16" s="6">
        <v>1.4412174000000002</v>
      </c>
      <c r="F16" s="6">
        <v>2.8616133</v>
      </c>
      <c r="G16" s="6">
        <v>26.6</v>
      </c>
      <c r="H16" s="191" t="s">
        <v>160</v>
      </c>
    </row>
    <row r="17" spans="1:8" ht="51">
      <c r="A17" s="241"/>
      <c r="B17" s="126" t="s">
        <v>278</v>
      </c>
      <c r="C17" s="192" t="s">
        <v>47</v>
      </c>
      <c r="D17" s="6">
        <v>3.648313</v>
      </c>
      <c r="E17" s="6">
        <v>6.668752</v>
      </c>
      <c r="F17" s="6">
        <v>6.413774999999999</v>
      </c>
      <c r="G17" s="6">
        <v>100</v>
      </c>
      <c r="H17" s="188" t="s">
        <v>175</v>
      </c>
    </row>
    <row r="18" spans="1:8" ht="25.5">
      <c r="A18" s="241"/>
      <c r="B18" s="126" t="s">
        <v>167</v>
      </c>
      <c r="C18" s="49">
        <v>50</v>
      </c>
      <c r="D18" s="58">
        <v>7.382346400000001</v>
      </c>
      <c r="E18" s="58">
        <v>8.946493599999998</v>
      </c>
      <c r="F18" s="58">
        <v>1.6575650000000002</v>
      </c>
      <c r="G18" s="58">
        <v>116.67808799999999</v>
      </c>
      <c r="H18" s="133" t="s">
        <v>168</v>
      </c>
    </row>
    <row r="19" spans="1:8" ht="25.5">
      <c r="A19" s="241"/>
      <c r="B19" s="127" t="s">
        <v>237</v>
      </c>
      <c r="C19" s="1">
        <v>110</v>
      </c>
      <c r="D19" s="7">
        <v>2.612918000000001</v>
      </c>
      <c r="E19" s="7">
        <v>2.8018760000000005</v>
      </c>
      <c r="F19" s="7">
        <v>26.4899635</v>
      </c>
      <c r="G19" s="7">
        <v>133</v>
      </c>
      <c r="H19" s="188" t="s">
        <v>166</v>
      </c>
    </row>
    <row r="20" spans="1:8" ht="15.75">
      <c r="A20" s="241"/>
      <c r="B20" s="127" t="s">
        <v>12</v>
      </c>
      <c r="C20" s="3">
        <v>20</v>
      </c>
      <c r="D20" s="6">
        <f>1.32*C20/20</f>
        <v>1.32</v>
      </c>
      <c r="E20" s="6">
        <f>0.22*C20/20</f>
        <v>0.22000000000000003</v>
      </c>
      <c r="F20" s="6">
        <f>8.2*C20/20</f>
        <v>8.2</v>
      </c>
      <c r="G20" s="7">
        <f>40*C20/20</f>
        <v>40</v>
      </c>
      <c r="H20" s="188" t="s">
        <v>60</v>
      </c>
    </row>
    <row r="21" spans="1:8" ht="15.75">
      <c r="A21" s="241"/>
      <c r="B21" s="127" t="s">
        <v>41</v>
      </c>
      <c r="C21" s="192">
        <v>20</v>
      </c>
      <c r="D21" s="6">
        <f>2.28*C21/30</f>
        <v>1.5199999999999998</v>
      </c>
      <c r="E21" s="6">
        <f>0.24*C21/30</f>
        <v>0.16</v>
      </c>
      <c r="F21" s="6">
        <f>14.76*C21/30</f>
        <v>9.84</v>
      </c>
      <c r="G21" s="6">
        <f>70.5*C21/30</f>
        <v>47</v>
      </c>
      <c r="H21" s="188" t="s">
        <v>59</v>
      </c>
    </row>
    <row r="22" spans="1:8" ht="25.5">
      <c r="A22" s="241"/>
      <c r="B22" s="130" t="s">
        <v>279</v>
      </c>
      <c r="C22" s="3">
        <v>150</v>
      </c>
      <c r="D22" s="6">
        <v>0.11</v>
      </c>
      <c r="E22" s="6">
        <v>0.11</v>
      </c>
      <c r="F22" s="6">
        <v>11.75</v>
      </c>
      <c r="G22" s="6">
        <v>48.5</v>
      </c>
      <c r="H22" s="188" t="s">
        <v>75</v>
      </c>
    </row>
    <row r="23" spans="1:8" ht="15.75">
      <c r="A23" s="244" t="s">
        <v>13</v>
      </c>
      <c r="B23" s="244"/>
      <c r="C23" s="193">
        <v>550</v>
      </c>
      <c r="D23" s="12">
        <f>SUM(D16:D22)</f>
        <v>17.1469619</v>
      </c>
      <c r="E23" s="12">
        <f>SUM(E16:E22)</f>
        <v>20.348339</v>
      </c>
      <c r="F23" s="12">
        <f>SUM(F16:F22)</f>
        <v>67.2129168</v>
      </c>
      <c r="G23" s="12">
        <f>SUM(G16:G22)</f>
        <v>511.77808799999997</v>
      </c>
      <c r="H23" s="188"/>
    </row>
    <row r="24" spans="1:8" ht="39">
      <c r="A24" s="240" t="s">
        <v>149</v>
      </c>
      <c r="B24" s="131" t="s">
        <v>280</v>
      </c>
      <c r="C24" s="55">
        <v>160</v>
      </c>
      <c r="D24" s="14">
        <v>14.2</v>
      </c>
      <c r="E24" s="14">
        <v>11.49</v>
      </c>
      <c r="F24" s="14">
        <v>13.81</v>
      </c>
      <c r="G24" s="14">
        <v>215.49</v>
      </c>
      <c r="H24" s="55" t="s">
        <v>169</v>
      </c>
    </row>
    <row r="25" spans="1:8" ht="15.75">
      <c r="A25" s="240"/>
      <c r="B25" s="127" t="s">
        <v>41</v>
      </c>
      <c r="C25" s="192">
        <v>15</v>
      </c>
      <c r="D25" s="6">
        <f>2.28*C25/30</f>
        <v>1.14</v>
      </c>
      <c r="E25" s="6">
        <f>0.24*C25/30</f>
        <v>0.11999999999999998</v>
      </c>
      <c r="F25" s="6">
        <f>14.76*C25/30</f>
        <v>7.38</v>
      </c>
      <c r="G25" s="6">
        <f>70.5*C25/30</f>
        <v>35.25</v>
      </c>
      <c r="H25" s="188" t="s">
        <v>59</v>
      </c>
    </row>
    <row r="26" spans="1:8" ht="15.75">
      <c r="A26" s="240"/>
      <c r="B26" s="127" t="s">
        <v>12</v>
      </c>
      <c r="C26" s="3">
        <v>15</v>
      </c>
      <c r="D26" s="6">
        <v>1.32</v>
      </c>
      <c r="E26" s="6">
        <v>0.22</v>
      </c>
      <c r="F26" s="6">
        <v>8.2</v>
      </c>
      <c r="G26" s="7">
        <v>40</v>
      </c>
      <c r="H26" s="188" t="s">
        <v>60</v>
      </c>
    </row>
    <row r="27" spans="1:8" ht="15.75">
      <c r="A27" s="240"/>
      <c r="B27" s="126" t="s">
        <v>174</v>
      </c>
      <c r="C27" s="3">
        <v>150</v>
      </c>
      <c r="D27" s="6">
        <v>4.35</v>
      </c>
      <c r="E27" s="6">
        <v>4.8</v>
      </c>
      <c r="F27" s="6">
        <v>7.05</v>
      </c>
      <c r="G27" s="7">
        <v>90</v>
      </c>
      <c r="H27" s="188" t="s">
        <v>62</v>
      </c>
    </row>
    <row r="28" spans="1:8" ht="15.75">
      <c r="A28" s="240"/>
      <c r="B28" s="127" t="s">
        <v>156</v>
      </c>
      <c r="C28" s="192">
        <v>11</v>
      </c>
      <c r="D28" s="6">
        <v>0.8</v>
      </c>
      <c r="E28" s="6">
        <v>2.1</v>
      </c>
      <c r="F28" s="6">
        <v>7.5</v>
      </c>
      <c r="G28" s="6">
        <v>52</v>
      </c>
      <c r="H28" s="188" t="s">
        <v>157</v>
      </c>
    </row>
    <row r="29" spans="1:8" ht="15.75">
      <c r="A29" s="242" t="s">
        <v>150</v>
      </c>
      <c r="B29" s="242"/>
      <c r="C29" s="4">
        <v>351</v>
      </c>
      <c r="D29" s="13">
        <f>SUM(D24:D28)</f>
        <v>21.81</v>
      </c>
      <c r="E29" s="13">
        <f>SUM(E24:E28)</f>
        <v>18.73</v>
      </c>
      <c r="F29" s="13">
        <f>SUM(F24:F28)</f>
        <v>43.94</v>
      </c>
      <c r="G29" s="13">
        <f>SUM(G24:G28)</f>
        <v>432.74</v>
      </c>
      <c r="H29" s="188"/>
    </row>
    <row r="30" spans="1:8" ht="15.75">
      <c r="A30" s="245" t="s">
        <v>14</v>
      </c>
      <c r="B30" s="245"/>
      <c r="C30" s="194"/>
      <c r="D30" s="17">
        <f>D14+D15+D23+D29</f>
        <v>48.257343899999995</v>
      </c>
      <c r="E30" s="17">
        <f>E14+E15+E23+E29</f>
        <v>51.44461100000001</v>
      </c>
      <c r="F30" s="17">
        <f>F14+F15+F23+F29</f>
        <v>179.7485388</v>
      </c>
      <c r="G30" s="17">
        <f>G14+G15+G23+G29</f>
        <v>1306.1151439999999</v>
      </c>
      <c r="H30" s="195"/>
    </row>
    <row r="31" spans="1:8" ht="15.75">
      <c r="A31" s="243" t="s">
        <v>31</v>
      </c>
      <c r="B31" s="243"/>
      <c r="C31" s="243"/>
      <c r="D31" s="243"/>
      <c r="E31" s="243"/>
      <c r="F31" s="243"/>
      <c r="G31" s="243"/>
      <c r="H31" s="243"/>
    </row>
    <row r="32" spans="1:8" ht="35.25" customHeight="1">
      <c r="A32" s="241" t="s">
        <v>9</v>
      </c>
      <c r="B32" s="126" t="s">
        <v>281</v>
      </c>
      <c r="C32" s="55">
        <v>135</v>
      </c>
      <c r="D32" s="14">
        <f>4.961884*C32/155</f>
        <v>4.321640903225807</v>
      </c>
      <c r="E32" s="14">
        <f>3.065216*C32/155</f>
        <v>2.669704258064516</v>
      </c>
      <c r="F32" s="14">
        <f>19.133478*C32/155</f>
        <v>16.66464212903226</v>
      </c>
      <c r="G32" s="226">
        <v>92</v>
      </c>
      <c r="H32" s="196" t="s">
        <v>176</v>
      </c>
    </row>
    <row r="33" spans="1:8" ht="25.5">
      <c r="A33" s="241"/>
      <c r="B33" s="126" t="s">
        <v>282</v>
      </c>
      <c r="C33" s="197" t="s">
        <v>177</v>
      </c>
      <c r="D33" s="7">
        <v>4.359999999999999</v>
      </c>
      <c r="E33" s="7">
        <v>7.375</v>
      </c>
      <c r="F33" s="7">
        <v>14.665</v>
      </c>
      <c r="G33" s="7">
        <v>138</v>
      </c>
      <c r="H33" s="191" t="s">
        <v>52</v>
      </c>
    </row>
    <row r="34" spans="1:8" ht="15.75">
      <c r="A34" s="241"/>
      <c r="B34" s="126" t="s">
        <v>283</v>
      </c>
      <c r="C34" s="3">
        <v>180</v>
      </c>
      <c r="D34" s="7">
        <v>2.46</v>
      </c>
      <c r="E34" s="7">
        <v>1.86</v>
      </c>
      <c r="F34" s="7">
        <v>11.94</v>
      </c>
      <c r="G34" s="7">
        <v>64</v>
      </c>
      <c r="H34" s="191" t="s">
        <v>81</v>
      </c>
    </row>
    <row r="35" spans="1:8" ht="15.75">
      <c r="A35" s="244" t="s">
        <v>10</v>
      </c>
      <c r="B35" s="244"/>
      <c r="C35" s="2">
        <v>350</v>
      </c>
      <c r="D35" s="8">
        <f>D32+D33+D34</f>
        <v>11.141640903225806</v>
      </c>
      <c r="E35" s="8">
        <f>E32+E33+E34</f>
        <v>11.904704258064516</v>
      </c>
      <c r="F35" s="8">
        <f>F32+F33+F34</f>
        <v>43.269642129032256</v>
      </c>
      <c r="G35" s="8">
        <f>G32+G33+G34</f>
        <v>294</v>
      </c>
      <c r="H35" s="188"/>
    </row>
    <row r="36" spans="1:8" ht="15.75">
      <c r="A36" s="122" t="s">
        <v>38</v>
      </c>
      <c r="B36" s="128" t="s">
        <v>42</v>
      </c>
      <c r="C36" s="2">
        <v>150</v>
      </c>
      <c r="D36" s="9">
        <v>0.75</v>
      </c>
      <c r="E36" s="9">
        <v>0.15</v>
      </c>
      <c r="F36" s="9">
        <v>15.15</v>
      </c>
      <c r="G36" s="9">
        <v>69</v>
      </c>
      <c r="H36" s="188" t="s">
        <v>55</v>
      </c>
    </row>
    <row r="37" spans="1:8" ht="38.25">
      <c r="A37" s="241" t="s">
        <v>11</v>
      </c>
      <c r="B37" s="126" t="s">
        <v>284</v>
      </c>
      <c r="C37" s="192">
        <v>30</v>
      </c>
      <c r="D37" s="10">
        <v>0.43595500000000004</v>
      </c>
      <c r="E37" s="10">
        <v>2.379704</v>
      </c>
      <c r="F37" s="10">
        <v>1.967329</v>
      </c>
      <c r="G37" s="15">
        <v>31</v>
      </c>
      <c r="H37" s="188" t="s">
        <v>178</v>
      </c>
    </row>
    <row r="38" spans="1:8" ht="25.5">
      <c r="A38" s="241"/>
      <c r="B38" s="126" t="s">
        <v>312</v>
      </c>
      <c r="C38" s="1" t="s">
        <v>45</v>
      </c>
      <c r="D38" s="10">
        <v>5.13428</v>
      </c>
      <c r="E38" s="10">
        <v>2.6897200000000003</v>
      </c>
      <c r="F38" s="10">
        <v>9.724259999999997</v>
      </c>
      <c r="G38" s="7">
        <v>83</v>
      </c>
      <c r="H38" s="188" t="s">
        <v>77</v>
      </c>
    </row>
    <row r="39" spans="1:8" ht="25.5">
      <c r="A39" s="241"/>
      <c r="B39" s="126" t="s">
        <v>179</v>
      </c>
      <c r="C39" s="55">
        <v>50</v>
      </c>
      <c r="D39" s="14">
        <v>6.5549333333333335</v>
      </c>
      <c r="E39" s="14">
        <v>8.9628</v>
      </c>
      <c r="F39" s="14">
        <v>6.37</v>
      </c>
      <c r="G39" s="14">
        <v>132</v>
      </c>
      <c r="H39" s="218" t="s">
        <v>49</v>
      </c>
    </row>
    <row r="40" spans="1:8" ht="25.5">
      <c r="A40" s="241"/>
      <c r="B40" s="126" t="s">
        <v>285</v>
      </c>
      <c r="C40" s="1">
        <v>110</v>
      </c>
      <c r="D40" s="7">
        <v>6.03</v>
      </c>
      <c r="E40" s="7">
        <v>4.6</v>
      </c>
      <c r="F40" s="7">
        <v>26.35</v>
      </c>
      <c r="G40" s="7">
        <v>144</v>
      </c>
      <c r="H40" s="188" t="s">
        <v>79</v>
      </c>
    </row>
    <row r="41" spans="1:8" ht="25.5">
      <c r="A41" s="241"/>
      <c r="B41" s="127" t="s">
        <v>238</v>
      </c>
      <c r="C41" s="3">
        <v>150</v>
      </c>
      <c r="D41" s="6">
        <f>0.11*C41/180</f>
        <v>0.09166666666666666</v>
      </c>
      <c r="E41" s="6">
        <f>0.04*C41/180</f>
        <v>0.03333333333333333</v>
      </c>
      <c r="F41" s="6">
        <f>9.84*C41/180</f>
        <v>8.2</v>
      </c>
      <c r="G41" s="7">
        <f>40.17*C41/180</f>
        <v>33.475</v>
      </c>
      <c r="H41" s="188" t="s">
        <v>112</v>
      </c>
    </row>
    <row r="42" spans="1:8" ht="15.75">
      <c r="A42" s="241"/>
      <c r="B42" s="127" t="s">
        <v>12</v>
      </c>
      <c r="C42" s="3">
        <v>20</v>
      </c>
      <c r="D42" s="6">
        <v>1.32</v>
      </c>
      <c r="E42" s="6">
        <v>0.22</v>
      </c>
      <c r="F42" s="6">
        <v>8.2</v>
      </c>
      <c r="G42" s="7">
        <v>40</v>
      </c>
      <c r="H42" s="188" t="s">
        <v>60</v>
      </c>
    </row>
    <row r="43" spans="1:8" ht="15.75">
      <c r="A43" s="241"/>
      <c r="B43" s="127" t="s">
        <v>41</v>
      </c>
      <c r="C43" s="192">
        <v>20</v>
      </c>
      <c r="D43" s="6">
        <f>2.28*C43/30</f>
        <v>1.5199999999999998</v>
      </c>
      <c r="E43" s="6">
        <f>0.24*C43/30</f>
        <v>0.16</v>
      </c>
      <c r="F43" s="6">
        <f>14.76*C43/30</f>
        <v>9.84</v>
      </c>
      <c r="G43" s="6">
        <f>70.5*C43/30</f>
        <v>47</v>
      </c>
      <c r="H43" s="188" t="s">
        <v>59</v>
      </c>
    </row>
    <row r="44" spans="1:8" ht="15.75">
      <c r="A44" s="244" t="s">
        <v>13</v>
      </c>
      <c r="B44" s="244"/>
      <c r="C44" s="2">
        <v>540</v>
      </c>
      <c r="D44" s="12">
        <f>SUM(D37:D43)</f>
        <v>21.086835</v>
      </c>
      <c r="E44" s="12">
        <f>SUM(E37:E43)</f>
        <v>19.045557333333335</v>
      </c>
      <c r="F44" s="12">
        <f>SUM(F37:F43)</f>
        <v>70.651589</v>
      </c>
      <c r="G44" s="12">
        <f>SUM(G37:G43)</f>
        <v>510.475</v>
      </c>
      <c r="H44" s="188"/>
    </row>
    <row r="45" spans="1:8" ht="38.25">
      <c r="A45" s="240" t="s">
        <v>149</v>
      </c>
      <c r="B45" s="126" t="s">
        <v>327</v>
      </c>
      <c r="C45" s="197" t="s">
        <v>181</v>
      </c>
      <c r="D45" s="10">
        <v>9.745894</v>
      </c>
      <c r="E45" s="10">
        <v>10.292856</v>
      </c>
      <c r="F45" s="10">
        <v>57.665429</v>
      </c>
      <c r="G45" s="7">
        <v>362.5</v>
      </c>
      <c r="H45" s="188" t="s">
        <v>54</v>
      </c>
    </row>
    <row r="46" spans="1:8" ht="15.75">
      <c r="A46" s="240"/>
      <c r="B46" s="128" t="s">
        <v>286</v>
      </c>
      <c r="C46" s="197" t="s">
        <v>158</v>
      </c>
      <c r="D46" s="10">
        <f>0.0376*C46/180</f>
        <v>0.03133333333333334</v>
      </c>
      <c r="E46" s="10">
        <f>0.008976*C46/180</f>
        <v>0.0074800000000000005</v>
      </c>
      <c r="F46" s="10">
        <f>6.81863*C46/180</f>
        <v>5.682191666666666</v>
      </c>
      <c r="G46" s="7">
        <f>29.34*C46/180</f>
        <v>24.45</v>
      </c>
      <c r="H46" s="188" t="s">
        <v>54</v>
      </c>
    </row>
    <row r="47" spans="1:8" ht="15.75">
      <c r="A47" s="240"/>
      <c r="B47" s="143" t="s">
        <v>184</v>
      </c>
      <c r="C47" s="3">
        <v>100</v>
      </c>
      <c r="D47" s="11">
        <v>0.4</v>
      </c>
      <c r="E47" s="11">
        <v>0.4</v>
      </c>
      <c r="F47" s="11">
        <v>9.8</v>
      </c>
      <c r="G47" s="11">
        <v>47</v>
      </c>
      <c r="H47" s="188" t="s">
        <v>65</v>
      </c>
    </row>
    <row r="48" spans="1:8" ht="15.75">
      <c r="A48" s="246" t="s">
        <v>150</v>
      </c>
      <c r="B48" s="246"/>
      <c r="C48" s="18" t="s">
        <v>155</v>
      </c>
      <c r="D48" s="13">
        <f>SUM(D45:D47)</f>
        <v>10.177227333333333</v>
      </c>
      <c r="E48" s="13">
        <f>SUM(E45:E47)</f>
        <v>10.700336</v>
      </c>
      <c r="F48" s="13">
        <f>SUM(F45:F47)</f>
        <v>73.14762066666667</v>
      </c>
      <c r="G48" s="13">
        <f>SUM(G45:G47)</f>
        <v>433.95</v>
      </c>
      <c r="H48" s="51"/>
    </row>
    <row r="49" spans="1:8" ht="15.75">
      <c r="A49" s="247" t="s">
        <v>35</v>
      </c>
      <c r="B49" s="247"/>
      <c r="C49" s="20"/>
      <c r="D49" s="19">
        <f>D35+D36+D44+D48</f>
        <v>43.15570323655914</v>
      </c>
      <c r="E49" s="19">
        <f>E35+E36+E44+E48</f>
        <v>41.80059759139785</v>
      </c>
      <c r="F49" s="19">
        <f>F35+F36+F44+F48</f>
        <v>202.21885179569892</v>
      </c>
      <c r="G49" s="19">
        <f>G35+G36+G44+G48</f>
        <v>1307.425</v>
      </c>
      <c r="H49" s="198"/>
    </row>
    <row r="50" spans="1:8" ht="15.75">
      <c r="A50" s="243" t="s">
        <v>32</v>
      </c>
      <c r="B50" s="243"/>
      <c r="C50" s="243"/>
      <c r="D50" s="243"/>
      <c r="E50" s="243"/>
      <c r="F50" s="243"/>
      <c r="G50" s="243"/>
      <c r="H50" s="243"/>
    </row>
    <row r="51" spans="1:8" ht="25.5">
      <c r="A51" s="241" t="s">
        <v>9</v>
      </c>
      <c r="B51" s="126" t="s">
        <v>325</v>
      </c>
      <c r="C51" s="3">
        <v>140</v>
      </c>
      <c r="D51" s="6">
        <f>3.9339*C51/150</f>
        <v>3.67164</v>
      </c>
      <c r="E51" s="6">
        <f>1.73184*C51/150</f>
        <v>1.616384</v>
      </c>
      <c r="F51" s="6">
        <f>27.28908*C51/150</f>
        <v>25.469808</v>
      </c>
      <c r="G51" s="6">
        <f>140.4*C51/150</f>
        <v>131.04</v>
      </c>
      <c r="H51" s="191" t="s">
        <v>182</v>
      </c>
    </row>
    <row r="52" spans="1:8" ht="25.5">
      <c r="A52" s="241"/>
      <c r="B52" s="126" t="s">
        <v>282</v>
      </c>
      <c r="C52" s="197" t="s">
        <v>177</v>
      </c>
      <c r="D52" s="7">
        <v>4.359999999999999</v>
      </c>
      <c r="E52" s="7">
        <v>7.375</v>
      </c>
      <c r="F52" s="7">
        <v>14.665</v>
      </c>
      <c r="G52" s="7">
        <v>138</v>
      </c>
      <c r="H52" s="191" t="s">
        <v>52</v>
      </c>
    </row>
    <row r="53" spans="1:8" ht="15.75">
      <c r="A53" s="241"/>
      <c r="B53" s="126" t="s">
        <v>287</v>
      </c>
      <c r="C53" s="49">
        <v>180</v>
      </c>
      <c r="D53" s="14">
        <f>1.551*C53/200</f>
        <v>1.3959000000000001</v>
      </c>
      <c r="E53" s="14">
        <f>1.58488*C53/200</f>
        <v>1.426392</v>
      </c>
      <c r="F53" s="14">
        <f>2.1749*C53/200</f>
        <v>1.95741</v>
      </c>
      <c r="G53" s="14">
        <f>29.16752*C53/200</f>
        <v>26.250767999999997</v>
      </c>
      <c r="H53" s="133" t="s">
        <v>183</v>
      </c>
    </row>
    <row r="54" spans="1:8" ht="15.75">
      <c r="A54" s="244" t="s">
        <v>10</v>
      </c>
      <c r="B54" s="244"/>
      <c r="C54" s="2">
        <v>350</v>
      </c>
      <c r="D54" s="8">
        <f>SUM(D51:D53)</f>
        <v>9.42754</v>
      </c>
      <c r="E54" s="8">
        <f>SUM(E51:E53)</f>
        <v>10.417776</v>
      </c>
      <c r="F54" s="8">
        <f>SUM(F51:F53)</f>
        <v>42.092218</v>
      </c>
      <c r="G54" s="8">
        <f>SUM(G51:G53)</f>
        <v>295.29076799999996</v>
      </c>
      <c r="H54" s="188"/>
    </row>
    <row r="55" spans="1:8" ht="15.75">
      <c r="A55" s="122" t="s">
        <v>29</v>
      </c>
      <c r="B55" s="128" t="s">
        <v>185</v>
      </c>
      <c r="C55" s="2">
        <v>100</v>
      </c>
      <c r="D55" s="8">
        <v>0.4</v>
      </c>
      <c r="E55" s="8">
        <v>0.4</v>
      </c>
      <c r="F55" s="8">
        <v>9.8</v>
      </c>
      <c r="G55" s="8">
        <v>47</v>
      </c>
      <c r="H55" s="188" t="s">
        <v>65</v>
      </c>
    </row>
    <row r="56" spans="1:8" ht="38.25">
      <c r="A56" s="241" t="s">
        <v>70</v>
      </c>
      <c r="B56" s="127" t="s">
        <v>239</v>
      </c>
      <c r="C56" s="1">
        <v>30</v>
      </c>
      <c r="D56" s="7">
        <v>0.25839999999999996</v>
      </c>
      <c r="E56" s="7">
        <v>2.8427480000000003</v>
      </c>
      <c r="F56" s="7">
        <v>0.8415680000000001</v>
      </c>
      <c r="G56" s="7">
        <v>29.9</v>
      </c>
      <c r="H56" s="188" t="s">
        <v>186</v>
      </c>
    </row>
    <row r="57" spans="1:8" ht="38.25">
      <c r="A57" s="241"/>
      <c r="B57" s="126" t="s">
        <v>288</v>
      </c>
      <c r="C57" s="192" t="s">
        <v>47</v>
      </c>
      <c r="D57" s="6">
        <v>4.14</v>
      </c>
      <c r="E57" s="6">
        <v>6.5</v>
      </c>
      <c r="F57" s="6">
        <v>5.49</v>
      </c>
      <c r="G57" s="6">
        <v>97.2</v>
      </c>
      <c r="H57" s="188" t="s">
        <v>57</v>
      </c>
    </row>
    <row r="58" spans="1:8" ht="15.75">
      <c r="A58" s="241"/>
      <c r="B58" s="126" t="s">
        <v>289</v>
      </c>
      <c r="C58" s="49">
        <v>50</v>
      </c>
      <c r="D58" s="141">
        <v>11.633439999999998</v>
      </c>
      <c r="E58" s="141">
        <v>11.010559999999998</v>
      </c>
      <c r="F58" s="141">
        <v>0</v>
      </c>
      <c r="G58" s="141">
        <v>145.62879999999998</v>
      </c>
      <c r="H58" s="188" t="s">
        <v>187</v>
      </c>
    </row>
    <row r="59" spans="1:8" ht="25.5">
      <c r="A59" s="241"/>
      <c r="B59" s="126" t="s">
        <v>290</v>
      </c>
      <c r="C59" s="1">
        <v>110</v>
      </c>
      <c r="D59" s="7">
        <f>2.45*C59/120</f>
        <v>2.245833333333333</v>
      </c>
      <c r="E59" s="7">
        <f>3.43*C59/120</f>
        <v>3.1441666666666666</v>
      </c>
      <c r="F59" s="7">
        <f>16.05*C59/120</f>
        <v>14.7125</v>
      </c>
      <c r="G59" s="7">
        <v>95</v>
      </c>
      <c r="H59" s="188" t="s">
        <v>58</v>
      </c>
    </row>
    <row r="60" spans="1:8" ht="25.5">
      <c r="A60" s="241"/>
      <c r="B60" s="130" t="s">
        <v>291</v>
      </c>
      <c r="C60" s="3">
        <v>150</v>
      </c>
      <c r="D60" s="6">
        <v>0.41</v>
      </c>
      <c r="E60" s="6">
        <v>0.06</v>
      </c>
      <c r="F60" s="6">
        <v>17.01</v>
      </c>
      <c r="G60" s="6">
        <v>70.15</v>
      </c>
      <c r="H60" s="188" t="s">
        <v>61</v>
      </c>
    </row>
    <row r="61" spans="1:8" ht="15.75">
      <c r="A61" s="241"/>
      <c r="B61" s="127" t="s">
        <v>12</v>
      </c>
      <c r="C61" s="3">
        <v>15</v>
      </c>
      <c r="D61" s="6">
        <f>1.32*C61/20</f>
        <v>0.99</v>
      </c>
      <c r="E61" s="6">
        <f>0.22*C61/20</f>
        <v>0.16499999999999998</v>
      </c>
      <c r="F61" s="6">
        <f>8.2*C61/20</f>
        <v>6.1499999999999995</v>
      </c>
      <c r="G61" s="7">
        <f>40*C61/20</f>
        <v>30</v>
      </c>
      <c r="H61" s="188" t="s">
        <v>60</v>
      </c>
    </row>
    <row r="62" spans="1:8" ht="15.75">
      <c r="A62" s="241"/>
      <c r="B62" s="127" t="s">
        <v>41</v>
      </c>
      <c r="C62" s="192">
        <v>20</v>
      </c>
      <c r="D62" s="6">
        <f>2.28*C62/30</f>
        <v>1.5199999999999998</v>
      </c>
      <c r="E62" s="6">
        <f>0.24*C62/30</f>
        <v>0.16</v>
      </c>
      <c r="F62" s="6">
        <f>14.76*C62/30</f>
        <v>9.84</v>
      </c>
      <c r="G62" s="6">
        <f>70.5*C62/30</f>
        <v>47</v>
      </c>
      <c r="H62" s="188" t="s">
        <v>59</v>
      </c>
    </row>
    <row r="63" spans="1:8" ht="15.75">
      <c r="A63" s="248" t="s">
        <v>13</v>
      </c>
      <c r="B63" s="248"/>
      <c r="C63" s="2">
        <v>545</v>
      </c>
      <c r="D63" s="12">
        <f>D56+D57+D58+D59+D60+D61+D62</f>
        <v>21.19767333333333</v>
      </c>
      <c r="E63" s="12">
        <f>E56+E57+E58+E59+E60+E61+E62</f>
        <v>23.882474666666663</v>
      </c>
      <c r="F63" s="12">
        <f>F56+F57+F58+F59+F60+F61+F62</f>
        <v>54.044067999999996</v>
      </c>
      <c r="G63" s="12">
        <f>G56+G57+G58+G59+G60+G61+G62</f>
        <v>514.8788</v>
      </c>
      <c r="H63" s="188"/>
    </row>
    <row r="64" spans="1:8" ht="25.5">
      <c r="A64" s="240" t="s">
        <v>149</v>
      </c>
      <c r="B64" s="126" t="s">
        <v>336</v>
      </c>
      <c r="C64" s="1" t="s">
        <v>189</v>
      </c>
      <c r="D64" s="7">
        <v>15.661743999999999</v>
      </c>
      <c r="E64" s="7">
        <v>7.128991999999999</v>
      </c>
      <c r="F64" s="7">
        <v>30.733008</v>
      </c>
      <c r="G64" s="7">
        <v>247.1</v>
      </c>
      <c r="H64" s="188" t="s">
        <v>161</v>
      </c>
    </row>
    <row r="65" spans="1:8" ht="15.75">
      <c r="A65" s="240"/>
      <c r="B65" s="128" t="s">
        <v>114</v>
      </c>
      <c r="C65" s="1">
        <v>150</v>
      </c>
      <c r="D65" s="7">
        <v>4.8</v>
      </c>
      <c r="E65" s="7">
        <v>3.75</v>
      </c>
      <c r="F65" s="7">
        <v>6.75</v>
      </c>
      <c r="G65" s="7">
        <v>79.5</v>
      </c>
      <c r="H65" s="188" t="s">
        <v>62</v>
      </c>
    </row>
    <row r="66" spans="1:8" ht="15.75">
      <c r="A66" s="240"/>
      <c r="B66" s="128" t="s">
        <v>188</v>
      </c>
      <c r="C66" s="55">
        <v>30</v>
      </c>
      <c r="D66" s="14">
        <f>2.52*C66/45</f>
        <v>1.68</v>
      </c>
      <c r="E66" s="14">
        <f>1.26*C66/45</f>
        <v>0.84</v>
      </c>
      <c r="F66" s="14">
        <f>35.2*C66/45</f>
        <v>23.466666666666665</v>
      </c>
      <c r="G66" s="14">
        <f>162*C66/45</f>
        <v>108</v>
      </c>
      <c r="H66" s="133" t="s">
        <v>157</v>
      </c>
    </row>
    <row r="67" spans="1:8" ht="15.75">
      <c r="A67" s="249" t="s">
        <v>150</v>
      </c>
      <c r="B67" s="249"/>
      <c r="C67" s="4">
        <v>280</v>
      </c>
      <c r="D67" s="13">
        <f>SUM(D64:D66)</f>
        <v>22.141744</v>
      </c>
      <c r="E67" s="13">
        <f>SUM(E64:E66)</f>
        <v>11.718992</v>
      </c>
      <c r="F67" s="13">
        <f>SUM(F64:F66)</f>
        <v>60.94967466666667</v>
      </c>
      <c r="G67" s="13">
        <f>SUM(G64:G66)</f>
        <v>434.6</v>
      </c>
      <c r="H67" s="188"/>
    </row>
    <row r="68" spans="1:8" ht="15.75">
      <c r="A68" s="199" t="s">
        <v>15</v>
      </c>
      <c r="B68" s="132"/>
      <c r="C68" s="200"/>
      <c r="D68" s="201">
        <f>D54+D55+D63+D67</f>
        <v>53.16695733333333</v>
      </c>
      <c r="E68" s="201">
        <f>E54+E55+E63+E67</f>
        <v>46.41924266666666</v>
      </c>
      <c r="F68" s="201">
        <f>F54+F55+F63+F67</f>
        <v>166.88596066666668</v>
      </c>
      <c r="G68" s="201">
        <f>G54+G55+G63+G67</f>
        <v>1291.769568</v>
      </c>
      <c r="H68" s="202"/>
    </row>
    <row r="69" spans="1:8" ht="15.75">
      <c r="A69" s="243" t="s">
        <v>33</v>
      </c>
      <c r="B69" s="243"/>
      <c r="C69" s="243"/>
      <c r="D69" s="243"/>
      <c r="E69" s="243"/>
      <c r="F69" s="243"/>
      <c r="G69" s="243"/>
      <c r="H69" s="243"/>
    </row>
    <row r="70" spans="1:8" ht="25.5">
      <c r="A70" s="241" t="s">
        <v>9</v>
      </c>
      <c r="B70" s="126" t="s">
        <v>318</v>
      </c>
      <c r="C70" s="3">
        <v>140</v>
      </c>
      <c r="D70" s="6">
        <f>5.31476*C70/150</f>
        <v>4.960442666666666</v>
      </c>
      <c r="E70" s="6">
        <v>2.0152</v>
      </c>
      <c r="F70" s="6">
        <v>24.51176</v>
      </c>
      <c r="G70" s="7">
        <v>107.2</v>
      </c>
      <c r="H70" s="220" t="s">
        <v>113</v>
      </c>
    </row>
    <row r="71" spans="1:8" ht="15.75">
      <c r="A71" s="241"/>
      <c r="B71" s="127" t="s">
        <v>235</v>
      </c>
      <c r="C71" s="187" t="s">
        <v>116</v>
      </c>
      <c r="D71" s="6">
        <v>1.58</v>
      </c>
      <c r="E71" s="6">
        <v>7.83</v>
      </c>
      <c r="F71" s="6">
        <v>10.41</v>
      </c>
      <c r="G71" s="10">
        <v>118.5</v>
      </c>
      <c r="H71" s="188" t="s">
        <v>67</v>
      </c>
    </row>
    <row r="72" spans="1:8" ht="25.5">
      <c r="A72" s="241"/>
      <c r="B72" s="127" t="s">
        <v>236</v>
      </c>
      <c r="C72" s="56" t="s">
        <v>48</v>
      </c>
      <c r="D72" s="14">
        <f>1.62432*C72/150</f>
        <v>1.9491839999999998</v>
      </c>
      <c r="E72" s="14">
        <f>1.66144*C72/150</f>
        <v>1.9937280000000002</v>
      </c>
      <c r="F72" s="14">
        <f>9.03266*C72/150</f>
        <v>10.839191999999999</v>
      </c>
      <c r="G72" s="14">
        <f>57.58088*C72/150</f>
        <v>69.097056</v>
      </c>
      <c r="H72" s="133" t="s">
        <v>172</v>
      </c>
    </row>
    <row r="73" spans="1:8" ht="15.75">
      <c r="A73" s="244" t="s">
        <v>10</v>
      </c>
      <c r="B73" s="244"/>
      <c r="C73" s="2">
        <v>350</v>
      </c>
      <c r="D73" s="8">
        <f>SUM(D70:D72)</f>
        <v>8.489626666666666</v>
      </c>
      <c r="E73" s="8">
        <f>SUM(E70:E72)</f>
        <v>11.838928000000001</v>
      </c>
      <c r="F73" s="8">
        <f>SUM(F70:F72)</f>
        <v>45.760951999999996</v>
      </c>
      <c r="G73" s="8">
        <f>SUM(G70:G72)</f>
        <v>294.797056</v>
      </c>
      <c r="H73" s="188"/>
    </row>
    <row r="74" spans="1:8" ht="15.75">
      <c r="A74" s="122" t="s">
        <v>28</v>
      </c>
      <c r="B74" s="128" t="s">
        <v>200</v>
      </c>
      <c r="C74" s="2">
        <v>100</v>
      </c>
      <c r="D74" s="9">
        <v>1.1</v>
      </c>
      <c r="E74" s="9">
        <v>0.3</v>
      </c>
      <c r="F74" s="9">
        <v>8.9</v>
      </c>
      <c r="G74" s="9">
        <v>44</v>
      </c>
      <c r="H74" s="203" t="s">
        <v>65</v>
      </c>
    </row>
    <row r="75" spans="1:8" ht="38.25">
      <c r="A75" s="241" t="s">
        <v>11</v>
      </c>
      <c r="B75" s="129" t="s">
        <v>292</v>
      </c>
      <c r="C75" s="3">
        <v>30</v>
      </c>
      <c r="D75" s="6">
        <v>0.27</v>
      </c>
      <c r="E75" s="6">
        <v>1.73</v>
      </c>
      <c r="F75" s="6">
        <v>0.95</v>
      </c>
      <c r="G75" s="6">
        <v>20.47</v>
      </c>
      <c r="H75" s="191" t="s">
        <v>71</v>
      </c>
    </row>
    <row r="76" spans="1:8" ht="38.25">
      <c r="A76" s="241"/>
      <c r="B76" s="126" t="s">
        <v>190</v>
      </c>
      <c r="C76" s="49" t="s">
        <v>45</v>
      </c>
      <c r="D76" s="58">
        <v>4.41612</v>
      </c>
      <c r="E76" s="58">
        <v>3.81436</v>
      </c>
      <c r="F76" s="58">
        <v>11.34861</v>
      </c>
      <c r="G76" s="58">
        <v>97.38816000000001</v>
      </c>
      <c r="H76" s="133" t="s">
        <v>191</v>
      </c>
    </row>
    <row r="77" spans="1:8" ht="38.25">
      <c r="A77" s="241"/>
      <c r="B77" s="127" t="s">
        <v>240</v>
      </c>
      <c r="C77" s="1">
        <v>160</v>
      </c>
      <c r="D77" s="7">
        <v>15.67</v>
      </c>
      <c r="E77" s="7">
        <v>14.94</v>
      </c>
      <c r="F77" s="7">
        <v>13.48</v>
      </c>
      <c r="G77" s="7">
        <v>251.05</v>
      </c>
      <c r="H77" s="188" t="s">
        <v>118</v>
      </c>
    </row>
    <row r="78" spans="1:8" ht="23.25" customHeight="1">
      <c r="A78" s="241"/>
      <c r="B78" s="127" t="s">
        <v>241</v>
      </c>
      <c r="C78" s="3">
        <v>150</v>
      </c>
      <c r="D78" s="6">
        <f>0.48*C78/150</f>
        <v>0.48</v>
      </c>
      <c r="E78" s="6">
        <f>0.2*C78/150</f>
        <v>0.2</v>
      </c>
      <c r="F78" s="6">
        <f>12.95*C78/150</f>
        <v>12.95</v>
      </c>
      <c r="G78" s="6">
        <f>55.52*C78/150</f>
        <v>55.52</v>
      </c>
      <c r="H78" s="188" t="s">
        <v>72</v>
      </c>
    </row>
    <row r="79" spans="1:8" ht="15.75">
      <c r="A79" s="241"/>
      <c r="B79" s="127" t="s">
        <v>12</v>
      </c>
      <c r="C79" s="3">
        <v>20</v>
      </c>
      <c r="D79" s="6">
        <v>1.32</v>
      </c>
      <c r="E79" s="6">
        <v>0.22</v>
      </c>
      <c r="F79" s="6">
        <v>8.2</v>
      </c>
      <c r="G79" s="7">
        <v>40</v>
      </c>
      <c r="H79" s="188" t="s">
        <v>60</v>
      </c>
    </row>
    <row r="80" spans="1:8" ht="15.75">
      <c r="A80" s="241"/>
      <c r="B80" s="127" t="s">
        <v>41</v>
      </c>
      <c r="C80" s="192">
        <v>20</v>
      </c>
      <c r="D80" s="6">
        <f>2.28*C80/30</f>
        <v>1.5199999999999998</v>
      </c>
      <c r="E80" s="6">
        <f>0.24*C80/30</f>
        <v>0.16</v>
      </c>
      <c r="F80" s="6">
        <f>14.76*C80/30</f>
        <v>9.84</v>
      </c>
      <c r="G80" s="6">
        <f>70.5*C80/30</f>
        <v>47</v>
      </c>
      <c r="H80" s="188" t="s">
        <v>59</v>
      </c>
    </row>
    <row r="81" spans="1:8" ht="15.75">
      <c r="A81" s="244" t="s">
        <v>13</v>
      </c>
      <c r="B81" s="244"/>
      <c r="C81" s="2">
        <v>540</v>
      </c>
      <c r="D81" s="12">
        <f>SUM(D75:D80)</f>
        <v>23.67612</v>
      </c>
      <c r="E81" s="12">
        <f>SUM(E75:E80)</f>
        <v>21.064359999999997</v>
      </c>
      <c r="F81" s="12">
        <f>SUM(F75:F80)</f>
        <v>56.76861000000001</v>
      </c>
      <c r="G81" s="12">
        <f>SUM(G75:G80)</f>
        <v>511.42816</v>
      </c>
      <c r="H81" s="188"/>
    </row>
    <row r="82" spans="1:8" ht="15.75">
      <c r="A82" s="240" t="s">
        <v>149</v>
      </c>
      <c r="B82" s="130" t="s">
        <v>328</v>
      </c>
      <c r="C82" s="55">
        <v>40</v>
      </c>
      <c r="D82" s="14">
        <v>0.76</v>
      </c>
      <c r="E82" s="14">
        <v>3.56</v>
      </c>
      <c r="F82" s="14">
        <v>3.08</v>
      </c>
      <c r="G82" s="14">
        <v>47.6</v>
      </c>
      <c r="H82" s="188" t="s">
        <v>317</v>
      </c>
    </row>
    <row r="83" spans="1:8" ht="42.75" customHeight="1">
      <c r="A83" s="240"/>
      <c r="B83" s="204" t="s">
        <v>347</v>
      </c>
      <c r="C83" s="1">
        <v>180</v>
      </c>
      <c r="D83" s="7">
        <v>13.36</v>
      </c>
      <c r="E83" s="7">
        <v>9.85</v>
      </c>
      <c r="F83" s="7">
        <v>19.91</v>
      </c>
      <c r="G83" s="7">
        <v>221.76</v>
      </c>
      <c r="H83" s="188" t="s">
        <v>346</v>
      </c>
    </row>
    <row r="84" spans="1:8" ht="15.75">
      <c r="A84" s="240"/>
      <c r="B84" s="127" t="s">
        <v>242</v>
      </c>
      <c r="C84" s="3">
        <v>150</v>
      </c>
      <c r="D84" s="6">
        <f>0.23*C84/180</f>
        <v>0.19166666666666668</v>
      </c>
      <c r="E84" s="6">
        <f>0.05*C84/180</f>
        <v>0.041666666666666664</v>
      </c>
      <c r="F84" s="6">
        <f>6.98*C84/180</f>
        <v>5.816666666666666</v>
      </c>
      <c r="G84" s="7">
        <f>29.34*C84/180</f>
        <v>24.45</v>
      </c>
      <c r="H84" s="188" t="s">
        <v>64</v>
      </c>
    </row>
    <row r="85" spans="1:8" ht="15.75">
      <c r="A85" s="240"/>
      <c r="B85" s="99" t="s">
        <v>41</v>
      </c>
      <c r="C85" s="160">
        <v>30</v>
      </c>
      <c r="D85" s="66">
        <f>2.28*C85/30</f>
        <v>2.28</v>
      </c>
      <c r="E85" s="66">
        <f>0.24*C85/30</f>
        <v>0.23999999999999996</v>
      </c>
      <c r="F85" s="66">
        <f>14.76*C85/30</f>
        <v>14.76</v>
      </c>
      <c r="G85" s="66">
        <f>70.5*C85/30</f>
        <v>70.5</v>
      </c>
      <c r="H85" s="156" t="s">
        <v>59</v>
      </c>
    </row>
    <row r="86" spans="1:8" ht="15.75">
      <c r="A86" s="240"/>
      <c r="B86" s="127" t="s">
        <v>12</v>
      </c>
      <c r="C86" s="3">
        <v>20</v>
      </c>
      <c r="D86" s="6">
        <v>1.32</v>
      </c>
      <c r="E86" s="6">
        <v>0.22</v>
      </c>
      <c r="F86" s="6">
        <v>8.2</v>
      </c>
      <c r="G86" s="7">
        <v>40</v>
      </c>
      <c r="H86" s="188" t="s">
        <v>60</v>
      </c>
    </row>
    <row r="87" spans="1:8" ht="15.75">
      <c r="A87" s="249" t="s">
        <v>150</v>
      </c>
      <c r="B87" s="249"/>
      <c r="C87" s="2">
        <f>SUM(C82:C86)</f>
        <v>420</v>
      </c>
      <c r="D87" s="12">
        <f>SUM(D82:D86)</f>
        <v>17.911666666666665</v>
      </c>
      <c r="E87" s="12">
        <f>SUM(E82:E86)</f>
        <v>13.911666666666667</v>
      </c>
      <c r="F87" s="12">
        <f>SUM(F82:F86)</f>
        <v>51.766666666666666</v>
      </c>
      <c r="G87" s="12">
        <f>SUM(G82:G86)</f>
        <v>404.31</v>
      </c>
      <c r="H87" s="188"/>
    </row>
    <row r="88" spans="1:8" ht="15.75">
      <c r="A88" s="250" t="s">
        <v>16</v>
      </c>
      <c r="B88" s="250"/>
      <c r="C88" s="205"/>
      <c r="D88" s="19">
        <f>D73+D74+D81+D87</f>
        <v>51.177413333333334</v>
      </c>
      <c r="E88" s="19">
        <f>E73+E74+E81+E87</f>
        <v>47.11495466666667</v>
      </c>
      <c r="F88" s="19">
        <f>F73+F74+F81+F87</f>
        <v>163.19622866666668</v>
      </c>
      <c r="G88" s="19">
        <f>G73+G74+G81+G87</f>
        <v>1254.535216</v>
      </c>
      <c r="H88" s="206"/>
    </row>
    <row r="89" spans="1:8" ht="15.75">
      <c r="A89" s="243" t="s">
        <v>34</v>
      </c>
      <c r="B89" s="243"/>
      <c r="C89" s="243"/>
      <c r="D89" s="243"/>
      <c r="E89" s="243"/>
      <c r="F89" s="243"/>
      <c r="G89" s="243"/>
      <c r="H89" s="243"/>
    </row>
    <row r="90" spans="1:8" ht="25.5">
      <c r="A90" s="241" t="s">
        <v>9</v>
      </c>
      <c r="B90" s="126" t="s">
        <v>293</v>
      </c>
      <c r="C90" s="3">
        <v>140</v>
      </c>
      <c r="D90" s="6">
        <f>4.8645*C90/150</f>
        <v>4.5402</v>
      </c>
      <c r="E90" s="6">
        <f>2.4552*C90/150</f>
        <v>2.2915200000000002</v>
      </c>
      <c r="F90" s="6">
        <f>23.78649*C90/150</f>
        <v>22.200724</v>
      </c>
      <c r="G90" s="7">
        <v>109.3</v>
      </c>
      <c r="H90" s="191" t="s">
        <v>115</v>
      </c>
    </row>
    <row r="91" spans="1:8" ht="15.75">
      <c r="A91" s="241"/>
      <c r="B91" s="127" t="s">
        <v>235</v>
      </c>
      <c r="C91" s="187" t="s">
        <v>116</v>
      </c>
      <c r="D91" s="6">
        <v>1.58</v>
      </c>
      <c r="E91" s="6">
        <v>7.83</v>
      </c>
      <c r="F91" s="6">
        <v>10.41</v>
      </c>
      <c r="G91" s="10">
        <v>118.5</v>
      </c>
      <c r="H91" s="188" t="s">
        <v>67</v>
      </c>
    </row>
    <row r="92" spans="1:8" ht="15.75">
      <c r="A92" s="241"/>
      <c r="B92" s="126" t="s">
        <v>283</v>
      </c>
      <c r="C92" s="3">
        <v>180</v>
      </c>
      <c r="D92" s="7">
        <v>2.46</v>
      </c>
      <c r="E92" s="7">
        <v>1.86</v>
      </c>
      <c r="F92" s="7">
        <v>11.94</v>
      </c>
      <c r="G92" s="7">
        <v>64</v>
      </c>
      <c r="H92" s="191" t="s">
        <v>81</v>
      </c>
    </row>
    <row r="93" spans="1:8" ht="15.75">
      <c r="A93" s="244" t="s">
        <v>10</v>
      </c>
      <c r="B93" s="244"/>
      <c r="C93" s="189" t="s">
        <v>53</v>
      </c>
      <c r="D93" s="8">
        <f>SUM(D90:D92)</f>
        <v>8.5802</v>
      </c>
      <c r="E93" s="8">
        <f>SUM(E90:E92)</f>
        <v>11.98152</v>
      </c>
      <c r="F93" s="8">
        <f>SUM(F90:F92)</f>
        <v>44.550724</v>
      </c>
      <c r="G93" s="8">
        <f>SUM(G90:G92)</f>
        <v>291.8</v>
      </c>
      <c r="H93" s="188"/>
    </row>
    <row r="94" spans="1:8" ht="15.75">
      <c r="A94" s="4" t="s">
        <v>38</v>
      </c>
      <c r="B94" s="126" t="s">
        <v>193</v>
      </c>
      <c r="C94" s="57">
        <v>150</v>
      </c>
      <c r="D94" s="227">
        <f>4.05*C94/150</f>
        <v>4.05</v>
      </c>
      <c r="E94" s="227">
        <f>4.5*C94/150</f>
        <v>4.5</v>
      </c>
      <c r="F94" s="227">
        <f>6.6*C94/150</f>
        <v>6.6</v>
      </c>
      <c r="G94" s="227">
        <f>81*C94/150</f>
        <v>81</v>
      </c>
      <c r="H94" s="188" t="s">
        <v>62</v>
      </c>
    </row>
    <row r="95" spans="1:8" ht="15.75">
      <c r="A95" s="241" t="s">
        <v>11</v>
      </c>
      <c r="B95" s="126" t="s">
        <v>163</v>
      </c>
      <c r="C95" s="49">
        <v>30</v>
      </c>
      <c r="D95" s="228">
        <f>0.4*C95/50</f>
        <v>0.24</v>
      </c>
      <c r="E95" s="228">
        <f>0.05*C95/50</f>
        <v>0.03</v>
      </c>
      <c r="F95" s="228">
        <f>0.85*C95/50</f>
        <v>0.51</v>
      </c>
      <c r="G95" s="229">
        <f>6.5*C95/50</f>
        <v>3.9</v>
      </c>
      <c r="H95" s="133" t="s">
        <v>164</v>
      </c>
    </row>
    <row r="96" spans="1:8" ht="51">
      <c r="A96" s="241"/>
      <c r="B96" s="126" t="s">
        <v>294</v>
      </c>
      <c r="C96" s="3" t="s">
        <v>47</v>
      </c>
      <c r="D96" s="11">
        <v>4.17</v>
      </c>
      <c r="E96" s="11">
        <v>6.29</v>
      </c>
      <c r="F96" s="11">
        <v>7.83</v>
      </c>
      <c r="G96" s="11">
        <v>104.74</v>
      </c>
      <c r="H96" s="188" t="s">
        <v>125</v>
      </c>
    </row>
    <row r="97" spans="1:8" ht="26.25">
      <c r="A97" s="241"/>
      <c r="B97" s="134" t="s">
        <v>194</v>
      </c>
      <c r="C97" s="55">
        <v>50</v>
      </c>
      <c r="D97" s="14">
        <v>7.638440000000002</v>
      </c>
      <c r="E97" s="14">
        <v>7.971920000000001</v>
      </c>
      <c r="F97" s="14">
        <v>7.1007299999999995</v>
      </c>
      <c r="G97" s="14">
        <v>130.70396</v>
      </c>
      <c r="H97" s="133" t="s">
        <v>195</v>
      </c>
    </row>
    <row r="98" spans="1:8" ht="25.5">
      <c r="A98" s="241"/>
      <c r="B98" s="126" t="s">
        <v>295</v>
      </c>
      <c r="C98" s="192">
        <v>110</v>
      </c>
      <c r="D98" s="10">
        <v>3.74</v>
      </c>
      <c r="E98" s="10">
        <v>2.33</v>
      </c>
      <c r="F98" s="10">
        <v>23.13</v>
      </c>
      <c r="G98" s="11">
        <v>128.44</v>
      </c>
      <c r="H98" s="188" t="s">
        <v>76</v>
      </c>
    </row>
    <row r="99" spans="1:8" ht="25.5">
      <c r="A99" s="241"/>
      <c r="B99" s="126" t="s">
        <v>221</v>
      </c>
      <c r="C99" s="49">
        <v>150</v>
      </c>
      <c r="D99" s="58">
        <v>0.17099999999999999</v>
      </c>
      <c r="E99" s="58">
        <v>0.0705</v>
      </c>
      <c r="F99" s="58">
        <v>14.860300000000002</v>
      </c>
      <c r="G99" s="58">
        <v>60.7</v>
      </c>
      <c r="H99" s="188" t="s">
        <v>306</v>
      </c>
    </row>
    <row r="100" spans="1:8" ht="15.75">
      <c r="A100" s="241"/>
      <c r="B100" s="127" t="s">
        <v>12</v>
      </c>
      <c r="C100" s="3">
        <v>20</v>
      </c>
      <c r="D100" s="6">
        <v>1.32</v>
      </c>
      <c r="E100" s="6">
        <v>0.22</v>
      </c>
      <c r="F100" s="6">
        <v>8.2</v>
      </c>
      <c r="G100" s="7">
        <v>40</v>
      </c>
      <c r="H100" s="188" t="s">
        <v>60</v>
      </c>
    </row>
    <row r="101" spans="1:8" ht="15.75">
      <c r="A101" s="241"/>
      <c r="B101" s="127" t="s">
        <v>41</v>
      </c>
      <c r="C101" s="192">
        <v>20</v>
      </c>
      <c r="D101" s="6">
        <f>2.28*C101/30</f>
        <v>1.5199999999999998</v>
      </c>
      <c r="E101" s="6">
        <f>0.24*C101/30</f>
        <v>0.16</v>
      </c>
      <c r="F101" s="6">
        <f>14.76*C101/30</f>
        <v>9.84</v>
      </c>
      <c r="G101" s="6">
        <f>70.5*C101/30</f>
        <v>47</v>
      </c>
      <c r="H101" s="188" t="s">
        <v>59</v>
      </c>
    </row>
    <row r="102" spans="1:8" ht="15.75">
      <c r="A102" s="248" t="s">
        <v>19</v>
      </c>
      <c r="B102" s="248"/>
      <c r="C102" s="2">
        <v>550</v>
      </c>
      <c r="D102" s="12">
        <f>SUM(D95:D101)</f>
        <v>18.79944</v>
      </c>
      <c r="E102" s="12">
        <f>SUM(E95:E101)</f>
        <v>17.07242</v>
      </c>
      <c r="F102" s="12">
        <f>SUM(F95:F101)</f>
        <v>71.47103</v>
      </c>
      <c r="G102" s="12">
        <f>SUM(G95:G101)</f>
        <v>515.48396</v>
      </c>
      <c r="H102" s="188"/>
    </row>
    <row r="103" spans="1:8" ht="45" customHeight="1">
      <c r="A103" s="240" t="s">
        <v>149</v>
      </c>
      <c r="B103" s="126" t="s">
        <v>337</v>
      </c>
      <c r="C103" s="197" t="s">
        <v>180</v>
      </c>
      <c r="D103" s="10">
        <v>15.975769599999996</v>
      </c>
      <c r="E103" s="10">
        <v>5.606444799999999</v>
      </c>
      <c r="F103" s="10">
        <v>31.477638399999996</v>
      </c>
      <c r="G103" s="7">
        <v>236.7</v>
      </c>
      <c r="H103" s="222" t="s">
        <v>162</v>
      </c>
    </row>
    <row r="104" spans="1:8" ht="34.5" customHeight="1">
      <c r="A104" s="240"/>
      <c r="B104" s="130" t="s">
        <v>196</v>
      </c>
      <c r="C104" s="55">
        <v>50</v>
      </c>
      <c r="D104" s="14">
        <v>4.57498</v>
      </c>
      <c r="E104" s="14">
        <v>4.5684320000000005</v>
      </c>
      <c r="F104" s="14">
        <v>26.6903</v>
      </c>
      <c r="G104" s="14">
        <v>154.177008</v>
      </c>
      <c r="H104" s="133" t="s">
        <v>197</v>
      </c>
    </row>
    <row r="105" spans="1:8" ht="15.75">
      <c r="A105" s="240"/>
      <c r="B105" s="135" t="s">
        <v>243</v>
      </c>
      <c r="C105" s="49">
        <v>150</v>
      </c>
      <c r="D105" s="58">
        <v>0.09</v>
      </c>
      <c r="E105" s="58">
        <v>0</v>
      </c>
      <c r="F105" s="58">
        <v>12.27</v>
      </c>
      <c r="G105" s="58">
        <v>49.47</v>
      </c>
      <c r="H105" s="55" t="s">
        <v>198</v>
      </c>
    </row>
    <row r="106" spans="1:8" ht="15.75">
      <c r="A106" s="242" t="s">
        <v>150</v>
      </c>
      <c r="B106" s="242"/>
      <c r="C106" s="18" t="s">
        <v>199</v>
      </c>
      <c r="D106" s="13">
        <f>SUM(D103:D105)</f>
        <v>20.640749599999996</v>
      </c>
      <c r="E106" s="13">
        <f>SUM(E103:E105)</f>
        <v>10.1748768</v>
      </c>
      <c r="F106" s="13">
        <f>SUM(F103:F105)</f>
        <v>70.4379384</v>
      </c>
      <c r="G106" s="13">
        <f>SUM(G103:G105)</f>
        <v>440.34700799999996</v>
      </c>
      <c r="H106" s="191"/>
    </row>
    <row r="107" spans="1:8" ht="15.75">
      <c r="A107" s="207" t="s">
        <v>17</v>
      </c>
      <c r="B107" s="136"/>
      <c r="C107" s="20"/>
      <c r="D107" s="19">
        <f>D93+D94+D102+D106</f>
        <v>52.0703896</v>
      </c>
      <c r="E107" s="19">
        <f>E93+E94+E102+E106</f>
        <v>43.7288168</v>
      </c>
      <c r="F107" s="19">
        <f>F93+F94+F102+F106</f>
        <v>193.05969240000002</v>
      </c>
      <c r="G107" s="19">
        <f>G93+G94+G102+G106</f>
        <v>1328.630968</v>
      </c>
      <c r="H107" s="198"/>
    </row>
    <row r="108" spans="1:8" ht="15.75">
      <c r="A108" s="251" t="s">
        <v>220</v>
      </c>
      <c r="B108" s="251"/>
      <c r="C108" s="251"/>
      <c r="D108" s="208">
        <f>(D107+D88+D68+D49+D30)/5</f>
        <v>49.56556148064516</v>
      </c>
      <c r="E108" s="208">
        <f>(E107+E88+E68+E49+E30)/5</f>
        <v>46.10164454494624</v>
      </c>
      <c r="F108" s="208">
        <f>(F107+F88+F68+F49+F30)/5</f>
        <v>181.02185446580646</v>
      </c>
      <c r="G108" s="208">
        <f>(G107+G88+G68+G49+G30)/5</f>
        <v>1297.6951792</v>
      </c>
      <c r="H108" s="209"/>
    </row>
    <row r="109" spans="1:8" ht="15.75">
      <c r="A109" s="249" t="s">
        <v>27</v>
      </c>
      <c r="B109" s="249"/>
      <c r="C109" s="249"/>
      <c r="D109" s="249"/>
      <c r="E109" s="249"/>
      <c r="F109" s="249"/>
      <c r="G109" s="249"/>
      <c r="H109" s="249"/>
    </row>
    <row r="110" spans="1:8" ht="15.75">
      <c r="A110" s="243" t="s">
        <v>18</v>
      </c>
      <c r="B110" s="243"/>
      <c r="C110" s="243"/>
      <c r="D110" s="243"/>
      <c r="E110" s="243"/>
      <c r="F110" s="243"/>
      <c r="G110" s="243"/>
      <c r="H110" s="243"/>
    </row>
    <row r="111" spans="1:8" ht="25.5">
      <c r="A111" s="241" t="s">
        <v>9</v>
      </c>
      <c r="B111" s="126" t="s">
        <v>324</v>
      </c>
      <c r="C111" s="1">
        <v>140</v>
      </c>
      <c r="D111" s="7">
        <f>3.720426*C111/130</f>
        <v>4.006612615384616</v>
      </c>
      <c r="E111" s="7">
        <f>2.028048*C111/130</f>
        <v>2.1840516923076922</v>
      </c>
      <c r="F111" s="7">
        <f>17.960488*C111/130</f>
        <v>19.342064000000004</v>
      </c>
      <c r="G111" s="7">
        <v>111.9</v>
      </c>
      <c r="H111" s="191" t="s">
        <v>73</v>
      </c>
    </row>
    <row r="112" spans="1:8" ht="15.75">
      <c r="A112" s="241"/>
      <c r="B112" s="127" t="s">
        <v>235</v>
      </c>
      <c r="C112" s="187" t="s">
        <v>116</v>
      </c>
      <c r="D112" s="6">
        <v>1.58</v>
      </c>
      <c r="E112" s="6">
        <v>7.83</v>
      </c>
      <c r="F112" s="6">
        <v>10.41</v>
      </c>
      <c r="G112" s="10">
        <v>118.5</v>
      </c>
      <c r="H112" s="188" t="s">
        <v>67</v>
      </c>
    </row>
    <row r="113" spans="1:8" ht="15.75">
      <c r="A113" s="241"/>
      <c r="B113" s="126" t="s">
        <v>283</v>
      </c>
      <c r="C113" s="3">
        <v>180</v>
      </c>
      <c r="D113" s="7">
        <v>2.46</v>
      </c>
      <c r="E113" s="7">
        <v>1.86</v>
      </c>
      <c r="F113" s="7">
        <v>11.94</v>
      </c>
      <c r="G113" s="7">
        <v>64</v>
      </c>
      <c r="H113" s="191" t="s">
        <v>81</v>
      </c>
    </row>
    <row r="114" spans="1:8" ht="15.75">
      <c r="A114" s="249" t="s">
        <v>10</v>
      </c>
      <c r="B114" s="249"/>
      <c r="C114" s="2">
        <v>350</v>
      </c>
      <c r="D114" s="12">
        <f>SUM(D111:D113)</f>
        <v>8.046612615384616</v>
      </c>
      <c r="E114" s="12">
        <f>SUM(E111:E113)</f>
        <v>11.874051692307692</v>
      </c>
      <c r="F114" s="12">
        <f>SUM(F111:F113)</f>
        <v>41.692064</v>
      </c>
      <c r="G114" s="12">
        <f>SUM(G111:G113)</f>
        <v>294.4</v>
      </c>
      <c r="H114" s="188"/>
    </row>
    <row r="115" spans="1:8" ht="15.75">
      <c r="A115" s="122" t="s">
        <v>29</v>
      </c>
      <c r="B115" s="128" t="s">
        <v>42</v>
      </c>
      <c r="C115" s="2">
        <v>150</v>
      </c>
      <c r="D115" s="9">
        <v>0.75</v>
      </c>
      <c r="E115" s="9">
        <v>0.15</v>
      </c>
      <c r="F115" s="9">
        <v>15.15</v>
      </c>
      <c r="G115" s="9">
        <v>69</v>
      </c>
      <c r="H115" s="188" t="s">
        <v>55</v>
      </c>
    </row>
    <row r="116" spans="1:8" ht="25.5">
      <c r="A116" s="241" t="s">
        <v>11</v>
      </c>
      <c r="B116" s="126" t="s">
        <v>329</v>
      </c>
      <c r="C116" s="49">
        <v>30</v>
      </c>
      <c r="D116" s="228">
        <v>0.246525</v>
      </c>
      <c r="E116" s="228">
        <v>1.473168</v>
      </c>
      <c r="F116" s="228">
        <v>2.1755370000000003</v>
      </c>
      <c r="G116" s="229">
        <v>22.94676</v>
      </c>
      <c r="H116" s="133" t="s">
        <v>201</v>
      </c>
    </row>
    <row r="117" spans="1:8" ht="38.25">
      <c r="A117" s="241"/>
      <c r="B117" s="126" t="s">
        <v>296</v>
      </c>
      <c r="C117" s="55" t="s">
        <v>45</v>
      </c>
      <c r="D117" s="14">
        <v>3.409688</v>
      </c>
      <c r="E117" s="14">
        <v>5.145251999999999</v>
      </c>
      <c r="F117" s="14">
        <v>6.181629999999999</v>
      </c>
      <c r="G117" s="14">
        <v>84.67254</v>
      </c>
      <c r="H117" s="133" t="s">
        <v>212</v>
      </c>
    </row>
    <row r="118" spans="1:8" ht="26.25">
      <c r="A118" s="241"/>
      <c r="B118" s="134" t="s">
        <v>202</v>
      </c>
      <c r="C118" s="55">
        <v>50</v>
      </c>
      <c r="D118" s="14">
        <v>7.638440000000002</v>
      </c>
      <c r="E118" s="14">
        <v>7.971920000000001</v>
      </c>
      <c r="F118" s="14">
        <v>7.1007299999999995</v>
      </c>
      <c r="G118" s="14">
        <v>130.70396</v>
      </c>
      <c r="H118" s="133" t="s">
        <v>195</v>
      </c>
    </row>
    <row r="119" spans="1:8" ht="25.5">
      <c r="A119" s="241"/>
      <c r="B119" s="126" t="s">
        <v>290</v>
      </c>
      <c r="C119" s="1">
        <v>110</v>
      </c>
      <c r="D119" s="7">
        <f>2.45*C119/120</f>
        <v>2.245833333333333</v>
      </c>
      <c r="E119" s="7">
        <f>3.43*C119/120</f>
        <v>3.1441666666666666</v>
      </c>
      <c r="F119" s="7">
        <f>16.05*C119/120</f>
        <v>14.7125</v>
      </c>
      <c r="G119" s="7">
        <v>95</v>
      </c>
      <c r="H119" s="188" t="s">
        <v>58</v>
      </c>
    </row>
    <row r="120" spans="1:8" ht="15.75">
      <c r="A120" s="241"/>
      <c r="B120" s="127" t="s">
        <v>50</v>
      </c>
      <c r="C120" s="192">
        <v>150</v>
      </c>
      <c r="D120" s="6">
        <v>0.74</v>
      </c>
      <c r="E120" s="6">
        <v>0.04</v>
      </c>
      <c r="F120" s="6">
        <v>14.23</v>
      </c>
      <c r="G120" s="6">
        <v>60.25</v>
      </c>
      <c r="H120" s="188" t="s">
        <v>61</v>
      </c>
    </row>
    <row r="121" spans="1:8" ht="15.75">
      <c r="A121" s="241"/>
      <c r="B121" s="127" t="s">
        <v>12</v>
      </c>
      <c r="C121" s="3">
        <v>20</v>
      </c>
      <c r="D121" s="6">
        <v>1.32</v>
      </c>
      <c r="E121" s="6">
        <v>0.22</v>
      </c>
      <c r="F121" s="6">
        <v>8.2</v>
      </c>
      <c r="G121" s="7">
        <v>40</v>
      </c>
      <c r="H121" s="188" t="s">
        <v>60</v>
      </c>
    </row>
    <row r="122" spans="1:8" ht="15.75">
      <c r="A122" s="241"/>
      <c r="B122" s="127" t="s">
        <v>41</v>
      </c>
      <c r="C122" s="192">
        <v>20</v>
      </c>
      <c r="D122" s="6">
        <f>2.28*C122/30</f>
        <v>1.5199999999999998</v>
      </c>
      <c r="E122" s="6">
        <f>0.24*C122/30</f>
        <v>0.16</v>
      </c>
      <c r="F122" s="6">
        <f>14.76*C122/30</f>
        <v>9.84</v>
      </c>
      <c r="G122" s="6">
        <f>70.5*C122/30</f>
        <v>47</v>
      </c>
      <c r="H122" s="188" t="s">
        <v>59</v>
      </c>
    </row>
    <row r="123" spans="1:8" ht="15.75">
      <c r="A123" s="249" t="s">
        <v>13</v>
      </c>
      <c r="B123" s="249"/>
      <c r="C123" s="4">
        <v>540</v>
      </c>
      <c r="D123" s="13">
        <f>SUM(D116:D122)</f>
        <v>17.120486333333336</v>
      </c>
      <c r="E123" s="13">
        <f>SUM(E116:E122)</f>
        <v>18.154506666666666</v>
      </c>
      <c r="F123" s="13">
        <f>SUM(F116:F122)</f>
        <v>62.440397000000004</v>
      </c>
      <c r="G123" s="13">
        <f>SUM(G116:G122)</f>
        <v>480.57326</v>
      </c>
      <c r="H123" s="188"/>
    </row>
    <row r="124" spans="1:8" ht="15.75">
      <c r="A124" s="240" t="s">
        <v>149</v>
      </c>
      <c r="B124" s="210" t="s">
        <v>330</v>
      </c>
      <c r="C124" s="1">
        <v>30</v>
      </c>
      <c r="D124" s="7">
        <v>0.48</v>
      </c>
      <c r="E124" s="7">
        <v>0.12</v>
      </c>
      <c r="F124" s="7">
        <v>4.29</v>
      </c>
      <c r="G124" s="7">
        <v>20.7</v>
      </c>
      <c r="H124" s="188" t="s">
        <v>316</v>
      </c>
    </row>
    <row r="125" spans="1:8" ht="25.5">
      <c r="A125" s="240"/>
      <c r="B125" s="126" t="s">
        <v>297</v>
      </c>
      <c r="C125" s="1">
        <v>150</v>
      </c>
      <c r="D125" s="7">
        <f>14.84119*C125/130</f>
        <v>17.12445</v>
      </c>
      <c r="E125" s="7">
        <f>19.2335*C125/130</f>
        <v>22.1925</v>
      </c>
      <c r="F125" s="7">
        <f>2.04461833333333*C125/130</f>
        <v>2.3591749999999965</v>
      </c>
      <c r="G125" s="7">
        <f>240.6*C125/130</f>
        <v>277.61538461538464</v>
      </c>
      <c r="H125" s="218" t="s">
        <v>341</v>
      </c>
    </row>
    <row r="126" spans="1:8" ht="15.75">
      <c r="A126" s="240"/>
      <c r="B126" s="127" t="s">
        <v>242</v>
      </c>
      <c r="C126" s="3">
        <v>150</v>
      </c>
      <c r="D126" s="6">
        <f>0.23*C126/180</f>
        <v>0.19166666666666668</v>
      </c>
      <c r="E126" s="6">
        <f>0.05*C126/180</f>
        <v>0.041666666666666664</v>
      </c>
      <c r="F126" s="6">
        <f>6.98*C126/180</f>
        <v>5.816666666666666</v>
      </c>
      <c r="G126" s="7">
        <f>29.34*C126/180</f>
        <v>24.45</v>
      </c>
      <c r="H126" s="188" t="s">
        <v>64</v>
      </c>
    </row>
    <row r="127" spans="1:8" ht="15.75">
      <c r="A127" s="240"/>
      <c r="B127" s="127" t="s">
        <v>12</v>
      </c>
      <c r="C127" s="3">
        <v>20</v>
      </c>
      <c r="D127" s="6">
        <v>1.32</v>
      </c>
      <c r="E127" s="6">
        <v>0.22</v>
      </c>
      <c r="F127" s="6">
        <v>8.2</v>
      </c>
      <c r="G127" s="7">
        <v>40</v>
      </c>
      <c r="H127" s="188" t="s">
        <v>60</v>
      </c>
    </row>
    <row r="128" spans="1:8" ht="15.75">
      <c r="A128" s="240"/>
      <c r="B128" s="137" t="s">
        <v>156</v>
      </c>
      <c r="C128" s="49">
        <v>11</v>
      </c>
      <c r="D128" s="58">
        <v>0.8</v>
      </c>
      <c r="E128" s="58">
        <v>2.1</v>
      </c>
      <c r="F128" s="58">
        <v>7.5</v>
      </c>
      <c r="G128" s="58">
        <v>52</v>
      </c>
      <c r="H128" s="138" t="s">
        <v>157</v>
      </c>
    </row>
    <row r="129" spans="1:8" ht="15.75">
      <c r="A129" s="249" t="s">
        <v>150</v>
      </c>
      <c r="B129" s="249"/>
      <c r="C129" s="4">
        <v>361</v>
      </c>
      <c r="D129" s="13">
        <f>SUM(D124:D128)</f>
        <v>19.916116666666667</v>
      </c>
      <c r="E129" s="13">
        <f>SUM(E124:E128)</f>
        <v>24.674166666666668</v>
      </c>
      <c r="F129" s="13">
        <f>SUM(F124:F128)</f>
        <v>28.165841666666662</v>
      </c>
      <c r="G129" s="13">
        <f>SUM(G124:G128)</f>
        <v>414.7653846153846</v>
      </c>
      <c r="H129" s="188"/>
    </row>
    <row r="130" spans="1:8" ht="15.75">
      <c r="A130" s="211" t="s">
        <v>39</v>
      </c>
      <c r="B130" s="139"/>
      <c r="C130" s="212"/>
      <c r="D130" s="213">
        <f>D114+D115+D123+D129</f>
        <v>45.83321561538462</v>
      </c>
      <c r="E130" s="213">
        <f>E114+E115+E123+E129</f>
        <v>54.85272502564102</v>
      </c>
      <c r="F130" s="213">
        <f>F114+F115+F123+F129</f>
        <v>147.44830266666668</v>
      </c>
      <c r="G130" s="213">
        <f>G114+G115+G123+G129</f>
        <v>1258.7386446153846</v>
      </c>
      <c r="H130" s="214"/>
    </row>
    <row r="131" spans="1:8" ht="15.75">
      <c r="A131" s="243" t="s">
        <v>21</v>
      </c>
      <c r="B131" s="243"/>
      <c r="C131" s="243"/>
      <c r="D131" s="243"/>
      <c r="E131" s="243"/>
      <c r="F131" s="243"/>
      <c r="G131" s="243"/>
      <c r="H131" s="243"/>
    </row>
    <row r="132" spans="1:8" ht="25.5">
      <c r="A132" s="241" t="s">
        <v>9</v>
      </c>
      <c r="B132" s="126" t="s">
        <v>298</v>
      </c>
      <c r="C132" s="61" t="s">
        <v>173</v>
      </c>
      <c r="D132" s="58">
        <f>4.5919*C132/150</f>
        <v>4.285773333333333</v>
      </c>
      <c r="E132" s="58">
        <f>2.794*C132/150</f>
        <v>2.6077333333333335</v>
      </c>
      <c r="F132" s="58">
        <f>24.66646*C132/150</f>
        <v>23.022029333333332</v>
      </c>
      <c r="G132" s="58">
        <f>142.17944*C132/150</f>
        <v>132.70081066666665</v>
      </c>
      <c r="H132" s="196" t="s">
        <v>204</v>
      </c>
    </row>
    <row r="133" spans="1:8" ht="15.75">
      <c r="A133" s="241"/>
      <c r="B133" s="127" t="s">
        <v>235</v>
      </c>
      <c r="C133" s="187" t="s">
        <v>116</v>
      </c>
      <c r="D133" s="6">
        <v>1.58</v>
      </c>
      <c r="E133" s="6">
        <v>7.83</v>
      </c>
      <c r="F133" s="6">
        <v>10.41</v>
      </c>
      <c r="G133" s="10">
        <v>118.5</v>
      </c>
      <c r="H133" s="188" t="s">
        <v>67</v>
      </c>
    </row>
    <row r="134" spans="1:8" ht="15.75">
      <c r="A134" s="241"/>
      <c r="B134" s="126" t="s">
        <v>287</v>
      </c>
      <c r="C134" s="49">
        <v>180</v>
      </c>
      <c r="D134" s="14">
        <f>1.551*C134/200</f>
        <v>1.3959000000000001</v>
      </c>
      <c r="E134" s="14">
        <f>1.58488*C134/200</f>
        <v>1.426392</v>
      </c>
      <c r="F134" s="14">
        <f>2.1749*C134/200</f>
        <v>1.95741</v>
      </c>
      <c r="G134" s="14">
        <f>29.16752*C134/200</f>
        <v>26.250767999999997</v>
      </c>
      <c r="H134" s="133" t="s">
        <v>183</v>
      </c>
    </row>
    <row r="135" spans="1:8" ht="15.75">
      <c r="A135" s="249" t="s">
        <v>10</v>
      </c>
      <c r="B135" s="249"/>
      <c r="C135" s="4">
        <v>350</v>
      </c>
      <c r="D135" s="13">
        <f>D132+D133+D134</f>
        <v>7.261673333333333</v>
      </c>
      <c r="E135" s="13">
        <f>E132+E133+E134</f>
        <v>11.864125333333334</v>
      </c>
      <c r="F135" s="13">
        <f>F132+F133+F134</f>
        <v>35.389439333333335</v>
      </c>
      <c r="G135" s="13">
        <f>G132+G133+G134</f>
        <v>277.45157866666665</v>
      </c>
      <c r="H135" s="188"/>
    </row>
    <row r="136" spans="1:8" ht="15.75">
      <c r="A136" s="4" t="s">
        <v>29</v>
      </c>
      <c r="B136" s="128" t="s">
        <v>42</v>
      </c>
      <c r="C136" s="2">
        <v>150</v>
      </c>
      <c r="D136" s="9">
        <v>0.75</v>
      </c>
      <c r="E136" s="9">
        <v>0.15</v>
      </c>
      <c r="F136" s="9">
        <v>15.15</v>
      </c>
      <c r="G136" s="9">
        <v>69</v>
      </c>
      <c r="H136" s="188" t="s">
        <v>55</v>
      </c>
    </row>
    <row r="137" spans="1:8" ht="15.75">
      <c r="A137" s="122" t="s">
        <v>165</v>
      </c>
      <c r="B137" s="127"/>
      <c r="C137" s="193">
        <v>150</v>
      </c>
      <c r="D137" s="12">
        <f>SUM(D136:D136)</f>
        <v>0.75</v>
      </c>
      <c r="E137" s="12">
        <f>SUM(E136:E136)</f>
        <v>0.15</v>
      </c>
      <c r="F137" s="12">
        <f>SUM(F136:F136)</f>
        <v>15.15</v>
      </c>
      <c r="G137" s="12">
        <f>SUM(G136:G136)</f>
        <v>69</v>
      </c>
      <c r="H137" s="188"/>
    </row>
    <row r="138" spans="1:8" ht="15.75">
      <c r="A138" s="241" t="s">
        <v>11</v>
      </c>
      <c r="B138" s="135" t="s">
        <v>331</v>
      </c>
      <c r="C138" s="55">
        <v>30</v>
      </c>
      <c r="D138" s="14">
        <v>0.40612499999999996</v>
      </c>
      <c r="E138" s="14">
        <v>1.7170980000000002</v>
      </c>
      <c r="F138" s="14">
        <v>2.28228</v>
      </c>
      <c r="G138" s="14">
        <v>26.207502</v>
      </c>
      <c r="H138" s="133" t="s">
        <v>206</v>
      </c>
    </row>
    <row r="139" spans="1:8" ht="51">
      <c r="A139" s="241"/>
      <c r="B139" s="126" t="s">
        <v>299</v>
      </c>
      <c r="C139" s="3" t="s">
        <v>47</v>
      </c>
      <c r="D139" s="7">
        <v>4.35</v>
      </c>
      <c r="E139" s="7">
        <v>6.7</v>
      </c>
      <c r="F139" s="7">
        <v>9.57</v>
      </c>
      <c r="G139" s="7">
        <v>115.96</v>
      </c>
      <c r="H139" s="188" t="s">
        <v>82</v>
      </c>
    </row>
    <row r="140" spans="1:8" ht="38.25">
      <c r="A140" s="241"/>
      <c r="B140" s="126" t="s">
        <v>300</v>
      </c>
      <c r="C140" s="1">
        <v>50</v>
      </c>
      <c r="D140" s="7">
        <v>5.67</v>
      </c>
      <c r="E140" s="7">
        <v>4.27</v>
      </c>
      <c r="F140" s="7">
        <v>4.43</v>
      </c>
      <c r="G140" s="7">
        <v>78.85</v>
      </c>
      <c r="H140" s="188" t="s">
        <v>78</v>
      </c>
    </row>
    <row r="141" spans="1:8" ht="25.5">
      <c r="A141" s="241"/>
      <c r="B141" s="126" t="s">
        <v>207</v>
      </c>
      <c r="C141" s="1">
        <v>110</v>
      </c>
      <c r="D141" s="7">
        <v>3.168335499999999</v>
      </c>
      <c r="E141" s="7">
        <v>2.9911552</v>
      </c>
      <c r="F141" s="7">
        <v>21.675854199999996</v>
      </c>
      <c r="G141" s="7">
        <v>126.3</v>
      </c>
      <c r="H141" s="188" t="s">
        <v>307</v>
      </c>
    </row>
    <row r="142" spans="1:8" ht="25.5">
      <c r="A142" s="241"/>
      <c r="B142" s="130" t="s">
        <v>291</v>
      </c>
      <c r="C142" s="3">
        <v>150</v>
      </c>
      <c r="D142" s="6">
        <v>0.41</v>
      </c>
      <c r="E142" s="6">
        <v>0.06</v>
      </c>
      <c r="F142" s="6">
        <v>17.01</v>
      </c>
      <c r="G142" s="6">
        <v>70.15</v>
      </c>
      <c r="H142" s="188" t="s">
        <v>61</v>
      </c>
    </row>
    <row r="143" spans="1:8" ht="15.75">
      <c r="A143" s="241"/>
      <c r="B143" s="127" t="s">
        <v>12</v>
      </c>
      <c r="C143" s="3">
        <v>20</v>
      </c>
      <c r="D143" s="6">
        <v>1.32</v>
      </c>
      <c r="E143" s="6">
        <v>0.22</v>
      </c>
      <c r="F143" s="6">
        <v>8.2</v>
      </c>
      <c r="G143" s="7">
        <v>40</v>
      </c>
      <c r="H143" s="188" t="s">
        <v>60</v>
      </c>
    </row>
    <row r="144" spans="1:8" ht="15.75">
      <c r="A144" s="241"/>
      <c r="B144" s="127" t="s">
        <v>41</v>
      </c>
      <c r="C144" s="192">
        <v>20</v>
      </c>
      <c r="D144" s="6">
        <f>2.28*C144/30</f>
        <v>1.5199999999999998</v>
      </c>
      <c r="E144" s="6">
        <f>0.24*C144/30</f>
        <v>0.16</v>
      </c>
      <c r="F144" s="6">
        <f>14.76*C144/30</f>
        <v>9.84</v>
      </c>
      <c r="G144" s="6">
        <f>70.5*C144/30</f>
        <v>47</v>
      </c>
      <c r="H144" s="188" t="s">
        <v>59</v>
      </c>
    </row>
    <row r="145" spans="1:8" ht="15.75">
      <c r="A145" s="249" t="s">
        <v>13</v>
      </c>
      <c r="B145" s="249"/>
      <c r="C145" s="4">
        <v>550</v>
      </c>
      <c r="D145" s="13">
        <f>SUM(D138:D144)</f>
        <v>16.8444605</v>
      </c>
      <c r="E145" s="13">
        <f>SUM(E138:E144)</f>
        <v>16.1182532</v>
      </c>
      <c r="F145" s="13">
        <f>SUM(F138:F144)</f>
        <v>73.0081342</v>
      </c>
      <c r="G145" s="13">
        <f>SUM(G138:G144)</f>
        <v>504.46750199999997</v>
      </c>
      <c r="H145" s="188"/>
    </row>
    <row r="146" spans="1:8" ht="25.5">
      <c r="A146" s="240" t="s">
        <v>149</v>
      </c>
      <c r="B146" s="127" t="s">
        <v>208</v>
      </c>
      <c r="C146" s="1">
        <v>50</v>
      </c>
      <c r="D146" s="7">
        <v>6.132560000000001</v>
      </c>
      <c r="E146" s="7">
        <v>4.6948</v>
      </c>
      <c r="F146" s="7">
        <v>7.1007299999999995</v>
      </c>
      <c r="G146" s="7">
        <v>95</v>
      </c>
      <c r="H146" s="188" t="s">
        <v>309</v>
      </c>
    </row>
    <row r="147" spans="1:8" ht="38.25">
      <c r="A147" s="240"/>
      <c r="B147" s="127" t="s">
        <v>244</v>
      </c>
      <c r="C147" s="1">
        <v>110</v>
      </c>
      <c r="D147" s="7">
        <v>2.14</v>
      </c>
      <c r="E147" s="7">
        <v>4.31</v>
      </c>
      <c r="F147" s="7">
        <v>11.82</v>
      </c>
      <c r="G147" s="7">
        <v>94.66</v>
      </c>
      <c r="H147" s="188" t="s">
        <v>80</v>
      </c>
    </row>
    <row r="148" spans="1:8" ht="25.5">
      <c r="A148" s="240"/>
      <c r="B148" s="127" t="s">
        <v>241</v>
      </c>
      <c r="C148" s="3">
        <v>150</v>
      </c>
      <c r="D148" s="6">
        <f>0.48*C148/150</f>
        <v>0.48</v>
      </c>
      <c r="E148" s="6">
        <f>0.2*C148/150</f>
        <v>0.2</v>
      </c>
      <c r="F148" s="6">
        <f>12.95*C148/150</f>
        <v>12.95</v>
      </c>
      <c r="G148" s="6">
        <f>55.52*C148/150</f>
        <v>55.52</v>
      </c>
      <c r="H148" s="188" t="s">
        <v>72</v>
      </c>
    </row>
    <row r="149" spans="1:8" ht="15.75">
      <c r="A149" s="240"/>
      <c r="B149" s="127" t="s">
        <v>12</v>
      </c>
      <c r="C149" s="3">
        <v>20</v>
      </c>
      <c r="D149" s="6">
        <v>1.32</v>
      </c>
      <c r="E149" s="6">
        <v>0.22</v>
      </c>
      <c r="F149" s="6">
        <v>8.2</v>
      </c>
      <c r="G149" s="7">
        <v>40</v>
      </c>
      <c r="H149" s="188" t="s">
        <v>60</v>
      </c>
    </row>
    <row r="150" spans="1:8" ht="15.75">
      <c r="A150" s="240"/>
      <c r="B150" s="128" t="s">
        <v>209</v>
      </c>
      <c r="C150" s="49">
        <v>30</v>
      </c>
      <c r="D150" s="58">
        <f>2*30/50</f>
        <v>1.2</v>
      </c>
      <c r="E150" s="58">
        <f>13*30/50</f>
        <v>7.8</v>
      </c>
      <c r="F150" s="58">
        <f>32.5*30/50</f>
        <v>19.5</v>
      </c>
      <c r="G150" s="58">
        <f>127.5*30/25</f>
        <v>153</v>
      </c>
      <c r="H150" s="188" t="s">
        <v>157</v>
      </c>
    </row>
    <row r="151" spans="1:8" ht="15.75">
      <c r="A151" s="242" t="s">
        <v>150</v>
      </c>
      <c r="B151" s="242"/>
      <c r="C151" s="4">
        <v>360</v>
      </c>
      <c r="D151" s="13">
        <f>SUM(D146:D150)</f>
        <v>11.27256</v>
      </c>
      <c r="E151" s="13">
        <f>SUM(E146:E150)</f>
        <v>17.2248</v>
      </c>
      <c r="F151" s="13">
        <f>SUM(F146:F150)</f>
        <v>59.57073</v>
      </c>
      <c r="G151" s="13">
        <f>SUM(G146:G150)</f>
        <v>438.18</v>
      </c>
      <c r="H151" s="188"/>
    </row>
    <row r="152" spans="1:8" ht="15.75">
      <c r="A152" s="215" t="s">
        <v>22</v>
      </c>
      <c r="B152" s="140"/>
      <c r="C152" s="205"/>
      <c r="D152" s="19">
        <f>D135+D137+D145+D151</f>
        <v>36.12869383333334</v>
      </c>
      <c r="E152" s="19">
        <f>E135+E137+E145+E151</f>
        <v>45.35717853333334</v>
      </c>
      <c r="F152" s="19">
        <f>F135+F137+F145+F151</f>
        <v>183.11830353333335</v>
      </c>
      <c r="G152" s="19">
        <f>G135+G137+G145+G151</f>
        <v>1289.0990806666666</v>
      </c>
      <c r="H152" s="198"/>
    </row>
    <row r="153" spans="1:8" ht="15.75">
      <c r="A153" s="243" t="s">
        <v>23</v>
      </c>
      <c r="B153" s="243"/>
      <c r="C153" s="243"/>
      <c r="D153" s="243"/>
      <c r="E153" s="243"/>
      <c r="F153" s="243"/>
      <c r="G153" s="243"/>
      <c r="H153" s="243"/>
    </row>
    <row r="154" spans="1:8" ht="25.5">
      <c r="A154" s="241" t="s">
        <v>9</v>
      </c>
      <c r="B154" s="126" t="s">
        <v>210</v>
      </c>
      <c r="C154" s="3">
        <v>135</v>
      </c>
      <c r="D154" s="6">
        <f>5.26635*C154/150</f>
        <v>4.739715</v>
      </c>
      <c r="E154" s="6">
        <f>2.3694*C154/150</f>
        <v>2.13246</v>
      </c>
      <c r="F154" s="6">
        <f>25.139205*C154/150</f>
        <v>22.6252845</v>
      </c>
      <c r="G154" s="6">
        <v>127.61</v>
      </c>
      <c r="H154" s="220" t="s">
        <v>115</v>
      </c>
    </row>
    <row r="155" spans="1:8" ht="25.5">
      <c r="A155" s="241"/>
      <c r="B155" s="126" t="s">
        <v>282</v>
      </c>
      <c r="C155" s="197" t="s">
        <v>177</v>
      </c>
      <c r="D155" s="7">
        <v>4.359999999999999</v>
      </c>
      <c r="E155" s="7">
        <v>7.375</v>
      </c>
      <c r="F155" s="7">
        <v>14.665</v>
      </c>
      <c r="G155" s="7">
        <v>138</v>
      </c>
      <c r="H155" s="191" t="s">
        <v>52</v>
      </c>
    </row>
    <row r="156" spans="1:8" ht="15.75">
      <c r="A156" s="241"/>
      <c r="B156" s="143" t="s">
        <v>286</v>
      </c>
      <c r="C156" s="197" t="s">
        <v>48</v>
      </c>
      <c r="D156" s="10">
        <v>0.0376</v>
      </c>
      <c r="E156" s="10">
        <v>0.008976000000000001</v>
      </c>
      <c r="F156" s="10">
        <v>6.818630000000001</v>
      </c>
      <c r="G156" s="7">
        <v>29.34</v>
      </c>
      <c r="H156" s="188" t="s">
        <v>54</v>
      </c>
    </row>
    <row r="157" spans="1:8" ht="15.75">
      <c r="A157" s="249" t="s">
        <v>10</v>
      </c>
      <c r="B157" s="249"/>
      <c r="C157" s="4">
        <v>350</v>
      </c>
      <c r="D157" s="13">
        <f>SUM(D154:D156)</f>
        <v>9.137315</v>
      </c>
      <c r="E157" s="13">
        <f>SUM(E154:E156)</f>
        <v>9.516436</v>
      </c>
      <c r="F157" s="13">
        <f>SUM(F154:F156)</f>
        <v>44.1089145</v>
      </c>
      <c r="G157" s="13">
        <f>SUM(G154:G156)</f>
        <v>294.95</v>
      </c>
      <c r="H157" s="188"/>
    </row>
    <row r="158" spans="1:8" ht="15.75">
      <c r="A158" s="4" t="s">
        <v>38</v>
      </c>
      <c r="B158" s="128" t="s">
        <v>211</v>
      </c>
      <c r="C158" s="2">
        <v>100</v>
      </c>
      <c r="D158" s="9">
        <v>0.8</v>
      </c>
      <c r="E158" s="9">
        <v>0.3</v>
      </c>
      <c r="F158" s="9">
        <v>9.6</v>
      </c>
      <c r="G158" s="9">
        <v>42</v>
      </c>
      <c r="H158" s="203" t="s">
        <v>65</v>
      </c>
    </row>
    <row r="159" spans="1:8" ht="15.75">
      <c r="A159" s="241" t="s">
        <v>11</v>
      </c>
      <c r="B159" s="126" t="s">
        <v>332</v>
      </c>
      <c r="C159" s="55">
        <v>30</v>
      </c>
      <c r="D159" s="14">
        <v>0.57</v>
      </c>
      <c r="E159" s="14">
        <v>2.67</v>
      </c>
      <c r="F159" s="14">
        <v>2.31</v>
      </c>
      <c r="G159" s="14">
        <v>35.7</v>
      </c>
      <c r="H159" s="188" t="s">
        <v>317</v>
      </c>
    </row>
    <row r="160" spans="1:8" ht="25.5">
      <c r="A160" s="241"/>
      <c r="B160" s="130" t="s">
        <v>315</v>
      </c>
      <c r="C160" s="55" t="s">
        <v>43</v>
      </c>
      <c r="D160" s="14">
        <v>1.45</v>
      </c>
      <c r="E160" s="14">
        <v>2.42</v>
      </c>
      <c r="F160" s="14">
        <v>10.77</v>
      </c>
      <c r="G160" s="14">
        <v>70.74</v>
      </c>
      <c r="H160" s="55" t="s">
        <v>314</v>
      </c>
    </row>
    <row r="161" spans="1:8" ht="25.5">
      <c r="A161" s="241"/>
      <c r="B161" s="126" t="s">
        <v>275</v>
      </c>
      <c r="C161" s="49">
        <v>150</v>
      </c>
      <c r="D161" s="141">
        <f>13.86*C161/180</f>
        <v>11.55</v>
      </c>
      <c r="E161" s="141">
        <f>13.72*C161/180</f>
        <v>11.433333333333334</v>
      </c>
      <c r="F161" s="141">
        <f>36.01*C161/180</f>
        <v>30.008333333333333</v>
      </c>
      <c r="G161" s="141">
        <f>323.02*C161/180</f>
        <v>269.18333333333334</v>
      </c>
      <c r="H161" s="133" t="s">
        <v>213</v>
      </c>
    </row>
    <row r="162" spans="1:8" ht="25.5">
      <c r="A162" s="241"/>
      <c r="B162" s="130" t="s">
        <v>279</v>
      </c>
      <c r="C162" s="3">
        <v>150</v>
      </c>
      <c r="D162" s="6">
        <v>0.11</v>
      </c>
      <c r="E162" s="6">
        <v>0.11</v>
      </c>
      <c r="F162" s="6">
        <v>11.75</v>
      </c>
      <c r="G162" s="6">
        <v>48.5</v>
      </c>
      <c r="H162" s="188" t="s">
        <v>75</v>
      </c>
    </row>
    <row r="163" spans="1:8" ht="15.75">
      <c r="A163" s="241"/>
      <c r="B163" s="127" t="s">
        <v>12</v>
      </c>
      <c r="C163" s="3">
        <v>20</v>
      </c>
      <c r="D163" s="6">
        <v>1.32</v>
      </c>
      <c r="E163" s="6">
        <v>0.22</v>
      </c>
      <c r="F163" s="6">
        <v>8.2</v>
      </c>
      <c r="G163" s="7">
        <v>40</v>
      </c>
      <c r="H163" s="188" t="s">
        <v>60</v>
      </c>
    </row>
    <row r="164" spans="1:8" ht="15.75">
      <c r="A164" s="241"/>
      <c r="B164" s="127" t="s">
        <v>41</v>
      </c>
      <c r="C164" s="192">
        <v>20</v>
      </c>
      <c r="D164" s="6">
        <f>2.28*C164/30</f>
        <v>1.5199999999999998</v>
      </c>
      <c r="E164" s="6">
        <f>0.24*C164/30</f>
        <v>0.16</v>
      </c>
      <c r="F164" s="6">
        <f>14.76*C164/30</f>
        <v>9.84</v>
      </c>
      <c r="G164" s="6">
        <f>70.5*C164/30</f>
        <v>47</v>
      </c>
      <c r="H164" s="188" t="s">
        <v>59</v>
      </c>
    </row>
    <row r="165" spans="1:8" ht="15.75">
      <c r="A165" s="249" t="s">
        <v>13</v>
      </c>
      <c r="B165" s="249"/>
      <c r="C165" s="4">
        <v>540</v>
      </c>
      <c r="D165" s="13">
        <f>SUM(D159:D164)</f>
        <v>16.52</v>
      </c>
      <c r="E165" s="13">
        <f>SUM(E159:E164)</f>
        <v>17.013333333333332</v>
      </c>
      <c r="F165" s="13">
        <f>SUM(F159:F164)</f>
        <v>72.87833333333333</v>
      </c>
      <c r="G165" s="13">
        <f>SUM(G159:G164)</f>
        <v>511.12333333333333</v>
      </c>
      <c r="H165" s="188"/>
    </row>
    <row r="166" spans="1:8" ht="25.5">
      <c r="A166" s="240" t="s">
        <v>149</v>
      </c>
      <c r="B166" s="126" t="s">
        <v>336</v>
      </c>
      <c r="C166" s="1" t="s">
        <v>189</v>
      </c>
      <c r="D166" s="7">
        <v>15.661743999999999</v>
      </c>
      <c r="E166" s="7">
        <v>7.128991999999999</v>
      </c>
      <c r="F166" s="7">
        <v>30.733008</v>
      </c>
      <c r="G166" s="7">
        <v>247.1</v>
      </c>
      <c r="H166" s="188" t="s">
        <v>161</v>
      </c>
    </row>
    <row r="167" spans="1:8" ht="15.75">
      <c r="A167" s="240"/>
      <c r="B167" s="130" t="s">
        <v>174</v>
      </c>
      <c r="C167" s="3">
        <v>200</v>
      </c>
      <c r="D167" s="6">
        <f>4.35*C167/150</f>
        <v>5.799999999999999</v>
      </c>
      <c r="E167" s="6">
        <f>4.8*C167/150</f>
        <v>6.4</v>
      </c>
      <c r="F167" s="6">
        <f>7.05*C167/150</f>
        <v>9.4</v>
      </c>
      <c r="G167" s="7">
        <f>90*C167/150</f>
        <v>120</v>
      </c>
      <c r="H167" s="188" t="s">
        <v>62</v>
      </c>
    </row>
    <row r="168" spans="1:8" ht="15.75">
      <c r="A168" s="240"/>
      <c r="B168" s="137" t="s">
        <v>156</v>
      </c>
      <c r="C168" s="49">
        <v>11</v>
      </c>
      <c r="D168" s="58">
        <v>0.8</v>
      </c>
      <c r="E168" s="58">
        <v>2.1</v>
      </c>
      <c r="F168" s="58">
        <v>7.5</v>
      </c>
      <c r="G168" s="58">
        <v>52</v>
      </c>
      <c r="H168" s="138" t="s">
        <v>157</v>
      </c>
    </row>
    <row r="169" spans="1:8" ht="15.75">
      <c r="A169" s="249" t="s">
        <v>150</v>
      </c>
      <c r="B169" s="249"/>
      <c r="C169" s="4">
        <v>330</v>
      </c>
      <c r="D169" s="13">
        <f>SUM(D166:D168)</f>
        <v>22.261743999999997</v>
      </c>
      <c r="E169" s="13">
        <f>SUM(E166:E168)</f>
        <v>15.628991999999998</v>
      </c>
      <c r="F169" s="13">
        <f>SUM(F166:F168)</f>
        <v>47.633008000000004</v>
      </c>
      <c r="G169" s="13">
        <f>SUM(G166:G168)</f>
        <v>419.1</v>
      </c>
      <c r="H169" s="188"/>
    </row>
    <row r="170" spans="1:8" ht="15.75">
      <c r="A170" s="252" t="s">
        <v>24</v>
      </c>
      <c r="B170" s="252"/>
      <c r="C170" s="205"/>
      <c r="D170" s="19">
        <f>D157+D158+D165+D169</f>
        <v>48.719059</v>
      </c>
      <c r="E170" s="19">
        <f>E157+E158+E165+E169</f>
        <v>42.45876133333333</v>
      </c>
      <c r="F170" s="19">
        <f>F157+F158+F165+F169</f>
        <v>174.22025583333334</v>
      </c>
      <c r="G170" s="19">
        <f>G157+G158+G165+G169</f>
        <v>1267.1733333333332</v>
      </c>
      <c r="H170" s="216"/>
    </row>
    <row r="171" spans="1:8" ht="15.75">
      <c r="A171" s="243" t="s">
        <v>25</v>
      </c>
      <c r="B171" s="243"/>
      <c r="C171" s="243"/>
      <c r="D171" s="243"/>
      <c r="E171" s="243"/>
      <c r="F171" s="243"/>
      <c r="G171" s="243"/>
      <c r="H171" s="243"/>
    </row>
    <row r="172" spans="1:8" ht="25.5">
      <c r="A172" s="241" t="s">
        <v>9</v>
      </c>
      <c r="B172" s="126" t="s">
        <v>323</v>
      </c>
      <c r="C172" s="3">
        <v>135</v>
      </c>
      <c r="D172" s="6">
        <f>3.57*C172/130</f>
        <v>3.707307692307692</v>
      </c>
      <c r="E172" s="6">
        <f>2.95*C172/130</f>
        <v>3.0634615384615387</v>
      </c>
      <c r="F172" s="6">
        <f>11.49*C172/130</f>
        <v>11.931923076923077</v>
      </c>
      <c r="G172" s="6">
        <f>83.77*C172/130</f>
        <v>86.99192307692307</v>
      </c>
      <c r="H172" s="191" t="s">
        <v>66</v>
      </c>
    </row>
    <row r="173" spans="1:8" ht="25.5">
      <c r="A173" s="241"/>
      <c r="B173" s="126" t="s">
        <v>282</v>
      </c>
      <c r="C173" s="197" t="s">
        <v>177</v>
      </c>
      <c r="D173" s="7">
        <v>4.359999999999999</v>
      </c>
      <c r="E173" s="7">
        <v>7.375</v>
      </c>
      <c r="F173" s="7">
        <v>14.665</v>
      </c>
      <c r="G173" s="7">
        <v>138</v>
      </c>
      <c r="H173" s="191" t="s">
        <v>52</v>
      </c>
    </row>
    <row r="174" spans="1:8" ht="25.5">
      <c r="A174" s="241"/>
      <c r="B174" s="127" t="s">
        <v>236</v>
      </c>
      <c r="C174" s="56" t="s">
        <v>48</v>
      </c>
      <c r="D174" s="14">
        <f>1.62432*C174/150</f>
        <v>1.9491839999999998</v>
      </c>
      <c r="E174" s="14">
        <f>1.66144*C174/150</f>
        <v>1.9937280000000002</v>
      </c>
      <c r="F174" s="14">
        <f>9.03266*C174/150</f>
        <v>10.839191999999999</v>
      </c>
      <c r="G174" s="14">
        <f>57.58088*C174/150</f>
        <v>69.097056</v>
      </c>
      <c r="H174" s="133" t="s">
        <v>172</v>
      </c>
    </row>
    <row r="175" spans="1:8" ht="15.75">
      <c r="A175" s="249" t="s">
        <v>10</v>
      </c>
      <c r="B175" s="249"/>
      <c r="C175" s="4">
        <v>350</v>
      </c>
      <c r="D175" s="13">
        <f>SUM(D172:D174)</f>
        <v>10.016491692307692</v>
      </c>
      <c r="E175" s="13">
        <f>SUM(E172:E174)</f>
        <v>12.43218953846154</v>
      </c>
      <c r="F175" s="13">
        <f>SUM(F172:F174)</f>
        <v>37.43611507692307</v>
      </c>
      <c r="G175" s="13">
        <f>SUM(G172:G174)</f>
        <v>294.08897907692307</v>
      </c>
      <c r="H175" s="188"/>
    </row>
    <row r="176" spans="1:8" ht="15.75">
      <c r="A176" s="122" t="s">
        <v>28</v>
      </c>
      <c r="B176" s="128" t="s">
        <v>74</v>
      </c>
      <c r="C176" s="2">
        <v>100</v>
      </c>
      <c r="D176" s="9">
        <v>0.4</v>
      </c>
      <c r="E176" s="9">
        <v>0.3</v>
      </c>
      <c r="F176" s="9">
        <v>10.3</v>
      </c>
      <c r="G176" s="9">
        <v>47</v>
      </c>
      <c r="H176" s="203" t="s">
        <v>65</v>
      </c>
    </row>
    <row r="177" spans="1:8" ht="15.75">
      <c r="A177" s="241" t="s">
        <v>11</v>
      </c>
      <c r="B177" s="128" t="s">
        <v>117</v>
      </c>
      <c r="C177" s="192">
        <v>30</v>
      </c>
      <c r="D177" s="10">
        <v>0.21</v>
      </c>
      <c r="E177" s="10">
        <v>0.03</v>
      </c>
      <c r="F177" s="10">
        <v>0.57</v>
      </c>
      <c r="G177" s="15">
        <v>3.3</v>
      </c>
      <c r="H177" s="188" t="s">
        <v>56</v>
      </c>
    </row>
    <row r="178" spans="1:8" ht="38.25">
      <c r="A178" s="241"/>
      <c r="B178" s="126" t="s">
        <v>333</v>
      </c>
      <c r="C178" s="3" t="s">
        <v>214</v>
      </c>
      <c r="D178" s="11">
        <v>3.6522249999999996</v>
      </c>
      <c r="E178" s="11">
        <v>4.579339999999999</v>
      </c>
      <c r="F178" s="11">
        <v>6.6196625</v>
      </c>
      <c r="G178" s="11">
        <v>82.5</v>
      </c>
      <c r="H178" s="188" t="s">
        <v>313</v>
      </c>
    </row>
    <row r="179" spans="1:8" ht="25.5">
      <c r="A179" s="241"/>
      <c r="B179" s="126" t="s">
        <v>310</v>
      </c>
      <c r="C179" s="55">
        <v>50</v>
      </c>
      <c r="D179" s="14">
        <v>6.5549333333333335</v>
      </c>
      <c r="E179" s="14">
        <v>8.9628</v>
      </c>
      <c r="F179" s="14">
        <v>6.37</v>
      </c>
      <c r="G179" s="14">
        <v>132</v>
      </c>
      <c r="H179" s="188" t="s">
        <v>311</v>
      </c>
    </row>
    <row r="180" spans="1:8" ht="25.5">
      <c r="A180" s="241"/>
      <c r="B180" s="126" t="s">
        <v>290</v>
      </c>
      <c r="C180" s="1">
        <v>110</v>
      </c>
      <c r="D180" s="7">
        <f>2.45*C180/120</f>
        <v>2.245833333333333</v>
      </c>
      <c r="E180" s="7">
        <f>3.43*C180/120</f>
        <v>3.1441666666666666</v>
      </c>
      <c r="F180" s="7">
        <f>16.05*C180/120</f>
        <v>14.7125</v>
      </c>
      <c r="G180" s="7">
        <v>95</v>
      </c>
      <c r="H180" s="188" t="s">
        <v>58</v>
      </c>
    </row>
    <row r="181" spans="1:8" ht="25.5">
      <c r="A181" s="241"/>
      <c r="B181" s="130" t="s">
        <v>291</v>
      </c>
      <c r="C181" s="3">
        <v>150</v>
      </c>
      <c r="D181" s="6">
        <v>0.41</v>
      </c>
      <c r="E181" s="6">
        <v>0.06</v>
      </c>
      <c r="F181" s="6">
        <v>17.01</v>
      </c>
      <c r="G181" s="6">
        <v>70.15</v>
      </c>
      <c r="H181" s="188" t="s">
        <v>61</v>
      </c>
    </row>
    <row r="182" spans="1:8" ht="15.75">
      <c r="A182" s="241"/>
      <c r="B182" s="127" t="s">
        <v>12</v>
      </c>
      <c r="C182" s="3">
        <v>20</v>
      </c>
      <c r="D182" s="6">
        <v>1.32</v>
      </c>
      <c r="E182" s="6">
        <v>0.22</v>
      </c>
      <c r="F182" s="6">
        <v>8.2</v>
      </c>
      <c r="G182" s="7">
        <v>40</v>
      </c>
      <c r="H182" s="188" t="s">
        <v>60</v>
      </c>
    </row>
    <row r="183" spans="1:8" ht="15.75">
      <c r="A183" s="241"/>
      <c r="B183" s="127" t="s">
        <v>41</v>
      </c>
      <c r="C183" s="192">
        <v>30</v>
      </c>
      <c r="D183" s="6">
        <v>2.28</v>
      </c>
      <c r="E183" s="6">
        <v>0.24</v>
      </c>
      <c r="F183" s="6">
        <v>14.76</v>
      </c>
      <c r="G183" s="6">
        <v>70.5</v>
      </c>
      <c r="H183" s="188" t="s">
        <v>59</v>
      </c>
    </row>
    <row r="184" spans="1:8" ht="15.75">
      <c r="A184" s="249" t="s">
        <v>13</v>
      </c>
      <c r="B184" s="249"/>
      <c r="C184" s="4">
        <v>570</v>
      </c>
      <c r="D184" s="13">
        <f>SUM(D177:D183)</f>
        <v>16.672991666666668</v>
      </c>
      <c r="E184" s="13">
        <f>SUM(E177:E183)</f>
        <v>17.23630666666666</v>
      </c>
      <c r="F184" s="13">
        <f>SUM(F177:F183)</f>
        <v>68.2421625</v>
      </c>
      <c r="G184" s="13">
        <f>SUM(G177:G183)</f>
        <v>493.45000000000005</v>
      </c>
      <c r="H184" s="188"/>
    </row>
    <row r="185" spans="1:8" ht="38.25">
      <c r="A185" s="240" t="s">
        <v>149</v>
      </c>
      <c r="B185" s="135" t="s">
        <v>334</v>
      </c>
      <c r="C185" s="61" t="s">
        <v>158</v>
      </c>
      <c r="D185" s="141">
        <f>17.357194*C185/130</f>
        <v>20.027531538461538</v>
      </c>
      <c r="E185" s="141">
        <f>17.79888*C185/130</f>
        <v>20.53716923076923</v>
      </c>
      <c r="F185" s="141">
        <f>10.713248*C185/130</f>
        <v>12.36144</v>
      </c>
      <c r="G185" s="141">
        <f>272.471688*C185/130</f>
        <v>314.39040923076925</v>
      </c>
      <c r="H185" s="133" t="s">
        <v>216</v>
      </c>
    </row>
    <row r="186" spans="1:8" ht="15.75">
      <c r="A186" s="240"/>
      <c r="B186" s="127" t="s">
        <v>12</v>
      </c>
      <c r="C186" s="3">
        <v>20</v>
      </c>
      <c r="D186" s="6">
        <f>1.32*C186/20</f>
        <v>1.32</v>
      </c>
      <c r="E186" s="6">
        <f>0.22*C186/20</f>
        <v>0.22000000000000003</v>
      </c>
      <c r="F186" s="6">
        <f>8.2*C186/20</f>
        <v>8.2</v>
      </c>
      <c r="G186" s="7">
        <f>40*C186/20</f>
        <v>40</v>
      </c>
      <c r="H186" s="188" t="s">
        <v>60</v>
      </c>
    </row>
    <row r="187" spans="1:8" ht="15.75">
      <c r="A187" s="240"/>
      <c r="B187" s="127" t="s">
        <v>41</v>
      </c>
      <c r="C187" s="192">
        <v>20</v>
      </c>
      <c r="D187" s="6">
        <f>2.28*C187/30</f>
        <v>1.5199999999999998</v>
      </c>
      <c r="E187" s="6">
        <f>0.24*C187/30</f>
        <v>0.16</v>
      </c>
      <c r="F187" s="6">
        <f>14.76*C187/30</f>
        <v>9.84</v>
      </c>
      <c r="G187" s="6">
        <f>70.5*C187/30</f>
        <v>47</v>
      </c>
      <c r="H187" s="188" t="s">
        <v>59</v>
      </c>
    </row>
    <row r="188" spans="1:8" ht="15.75">
      <c r="A188" s="240"/>
      <c r="B188" s="128" t="s">
        <v>286</v>
      </c>
      <c r="C188" s="197" t="s">
        <v>158</v>
      </c>
      <c r="D188" s="10">
        <f>0.0376*C188/180</f>
        <v>0.03133333333333334</v>
      </c>
      <c r="E188" s="10">
        <f>0.008976*C188/180</f>
        <v>0.0074800000000000005</v>
      </c>
      <c r="F188" s="10">
        <f>6.81863*C188/180</f>
        <v>5.682191666666666</v>
      </c>
      <c r="G188" s="7">
        <f>29.34*C188/180</f>
        <v>24.45</v>
      </c>
      <c r="H188" s="188" t="s">
        <v>54</v>
      </c>
    </row>
    <row r="189" spans="1:8" ht="15.75">
      <c r="A189" s="249" t="s">
        <v>150</v>
      </c>
      <c r="B189" s="249"/>
      <c r="C189" s="4">
        <v>340</v>
      </c>
      <c r="D189" s="13">
        <f>SUM(D185:D188)</f>
        <v>22.89886487179487</v>
      </c>
      <c r="E189" s="13">
        <f>SUM(E185:E188)</f>
        <v>20.92464923076923</v>
      </c>
      <c r="F189" s="13">
        <f>SUM(F185:F188)</f>
        <v>36.08363166666666</v>
      </c>
      <c r="G189" s="13">
        <f>SUM(G185:G188)</f>
        <v>425.84040923076924</v>
      </c>
      <c r="H189" s="188"/>
    </row>
    <row r="190" spans="1:8" ht="15.75">
      <c r="A190" s="250" t="s">
        <v>26</v>
      </c>
      <c r="B190" s="250"/>
      <c r="C190" s="205"/>
      <c r="D190" s="19">
        <f>D175+D176+D184+D189</f>
        <v>49.98834823076923</v>
      </c>
      <c r="E190" s="19">
        <f>E175+E176+E184+E189</f>
        <v>50.89314543589743</v>
      </c>
      <c r="F190" s="19">
        <f>F175+F176+F184+F189</f>
        <v>152.06190924358975</v>
      </c>
      <c r="G190" s="19">
        <f>G175+G176+G184+G189</f>
        <v>1260.3793883076924</v>
      </c>
      <c r="H190" s="198"/>
    </row>
    <row r="191" spans="1:8" ht="15.75">
      <c r="A191" s="243" t="s">
        <v>36</v>
      </c>
      <c r="B191" s="243"/>
      <c r="C191" s="243"/>
      <c r="D191" s="243"/>
      <c r="E191" s="243"/>
      <c r="F191" s="243"/>
      <c r="G191" s="243"/>
      <c r="H191" s="243"/>
    </row>
    <row r="192" spans="1:8" ht="25.5">
      <c r="A192" s="241" t="s">
        <v>9</v>
      </c>
      <c r="B192" s="126" t="s">
        <v>217</v>
      </c>
      <c r="C192" s="55">
        <v>140</v>
      </c>
      <c r="D192" s="14">
        <f>5.6212*C192/130</f>
        <v>6.053599999999999</v>
      </c>
      <c r="E192" s="14">
        <f>2.3738*C192/130</f>
        <v>2.5564</v>
      </c>
      <c r="F192" s="14">
        <f>23.209277*C192/130</f>
        <v>24.994606</v>
      </c>
      <c r="G192" s="228">
        <f>103.686108*C192/130</f>
        <v>111.66196246153847</v>
      </c>
      <c r="H192" s="222" t="s">
        <v>342</v>
      </c>
    </row>
    <row r="193" spans="1:8" ht="15.75">
      <c r="A193" s="241"/>
      <c r="B193" s="127" t="s">
        <v>235</v>
      </c>
      <c r="C193" s="187" t="s">
        <v>116</v>
      </c>
      <c r="D193" s="6">
        <v>1.58</v>
      </c>
      <c r="E193" s="6">
        <v>7.83</v>
      </c>
      <c r="F193" s="6">
        <v>10.41</v>
      </c>
      <c r="G193" s="10">
        <v>118.5</v>
      </c>
      <c r="H193" s="188" t="s">
        <v>67</v>
      </c>
    </row>
    <row r="194" spans="1:8" ht="15.75">
      <c r="A194" s="241"/>
      <c r="B194" s="126" t="s">
        <v>283</v>
      </c>
      <c r="C194" s="3">
        <v>180</v>
      </c>
      <c r="D194" s="7">
        <v>2.46</v>
      </c>
      <c r="E194" s="7">
        <v>1.86</v>
      </c>
      <c r="F194" s="7">
        <v>11.94</v>
      </c>
      <c r="G194" s="7">
        <v>64</v>
      </c>
      <c r="H194" s="191" t="s">
        <v>81</v>
      </c>
    </row>
    <row r="195" spans="1:8" ht="15.75">
      <c r="A195" s="242" t="s">
        <v>10</v>
      </c>
      <c r="B195" s="242"/>
      <c r="C195" s="4">
        <v>350</v>
      </c>
      <c r="D195" s="13">
        <f>SUM(D192:D194)</f>
        <v>10.093599999999999</v>
      </c>
      <c r="E195" s="13">
        <f>SUM(E192:E194)</f>
        <v>12.2464</v>
      </c>
      <c r="F195" s="13">
        <f>SUM(F192:F194)</f>
        <v>47.344606</v>
      </c>
      <c r="G195" s="13">
        <f>SUM(G192:G194)</f>
        <v>294.16196246153845</v>
      </c>
      <c r="H195" s="188"/>
    </row>
    <row r="196" spans="1:8" ht="15.75">
      <c r="A196" s="122" t="s">
        <v>38</v>
      </c>
      <c r="B196" s="128" t="s">
        <v>44</v>
      </c>
      <c r="C196" s="4">
        <v>150</v>
      </c>
      <c r="D196" s="13">
        <v>4.35</v>
      </c>
      <c r="E196" s="13">
        <v>3.75</v>
      </c>
      <c r="F196" s="13">
        <v>6</v>
      </c>
      <c r="G196" s="13">
        <v>79.5</v>
      </c>
      <c r="H196" s="188" t="s">
        <v>62</v>
      </c>
    </row>
    <row r="197" spans="1:8" ht="15.75">
      <c r="A197" s="241" t="s">
        <v>11</v>
      </c>
      <c r="B197" s="128" t="s">
        <v>68</v>
      </c>
      <c r="C197" s="192">
        <v>30</v>
      </c>
      <c r="D197" s="10">
        <v>0.33</v>
      </c>
      <c r="E197" s="10">
        <v>0.06</v>
      </c>
      <c r="F197" s="10">
        <v>1.14</v>
      </c>
      <c r="G197" s="15">
        <v>7.2</v>
      </c>
      <c r="H197" s="188" t="s">
        <v>56</v>
      </c>
    </row>
    <row r="198" spans="1:8" ht="38.25">
      <c r="A198" s="241"/>
      <c r="B198" s="130" t="s">
        <v>301</v>
      </c>
      <c r="C198" s="1" t="s">
        <v>45</v>
      </c>
      <c r="D198" s="7">
        <v>5.373698</v>
      </c>
      <c r="E198" s="7">
        <v>5.173432</v>
      </c>
      <c r="F198" s="7">
        <v>10.773945000000001</v>
      </c>
      <c r="G198" s="7">
        <v>111.1</v>
      </c>
      <c r="H198" s="188" t="s">
        <v>82</v>
      </c>
    </row>
    <row r="199" spans="1:8" ht="31.5">
      <c r="A199" s="241"/>
      <c r="B199" s="126" t="s">
        <v>302</v>
      </c>
      <c r="C199" s="49">
        <v>60</v>
      </c>
      <c r="D199" s="58">
        <v>8.6098548</v>
      </c>
      <c r="E199" s="58">
        <v>8.4408192</v>
      </c>
      <c r="F199" s="58">
        <v>1.8204732000000001</v>
      </c>
      <c r="G199" s="58">
        <v>117.68868479999999</v>
      </c>
      <c r="H199" s="196" t="s">
        <v>218</v>
      </c>
    </row>
    <row r="200" spans="1:8" ht="25.5">
      <c r="A200" s="241"/>
      <c r="B200" s="126" t="s">
        <v>303</v>
      </c>
      <c r="C200" s="1">
        <v>110</v>
      </c>
      <c r="D200" s="7">
        <v>2.08</v>
      </c>
      <c r="E200" s="7">
        <v>3.51</v>
      </c>
      <c r="F200" s="7">
        <v>16.21</v>
      </c>
      <c r="G200" s="7">
        <v>104.77</v>
      </c>
      <c r="H200" s="188" t="s">
        <v>83</v>
      </c>
    </row>
    <row r="201" spans="1:8" ht="25.5">
      <c r="A201" s="241"/>
      <c r="B201" s="126" t="s">
        <v>221</v>
      </c>
      <c r="C201" s="49">
        <v>150</v>
      </c>
      <c r="D201" s="58">
        <v>0.17099999999999999</v>
      </c>
      <c r="E201" s="58">
        <v>0.0705</v>
      </c>
      <c r="F201" s="58">
        <v>14.860300000000002</v>
      </c>
      <c r="G201" s="58">
        <v>60.7</v>
      </c>
      <c r="H201" s="188" t="s">
        <v>306</v>
      </c>
    </row>
    <row r="202" spans="1:8" ht="15.75">
      <c r="A202" s="241"/>
      <c r="B202" s="127" t="s">
        <v>12</v>
      </c>
      <c r="C202" s="3">
        <v>20</v>
      </c>
      <c r="D202" s="6">
        <v>1.32</v>
      </c>
      <c r="E202" s="6">
        <v>0.22</v>
      </c>
      <c r="F202" s="6">
        <v>8.2</v>
      </c>
      <c r="G202" s="7">
        <v>40</v>
      </c>
      <c r="H202" s="188" t="s">
        <v>60</v>
      </c>
    </row>
    <row r="203" spans="1:8" ht="15.75">
      <c r="A203" s="241"/>
      <c r="B203" s="127" t="s">
        <v>41</v>
      </c>
      <c r="C203" s="192">
        <v>30</v>
      </c>
      <c r="D203" s="6">
        <f>2.28*C203/30</f>
        <v>2.28</v>
      </c>
      <c r="E203" s="6">
        <f>0.24*C203/30</f>
        <v>0.23999999999999996</v>
      </c>
      <c r="F203" s="6">
        <f>14.76*C203/30</f>
        <v>14.76</v>
      </c>
      <c r="G203" s="6">
        <f>70.5*C203/30</f>
        <v>70.5</v>
      </c>
      <c r="H203" s="188" t="s">
        <v>59</v>
      </c>
    </row>
    <row r="204" spans="1:8" ht="15.75">
      <c r="A204" s="249" t="s">
        <v>13</v>
      </c>
      <c r="B204" s="249"/>
      <c r="C204" s="4">
        <v>560</v>
      </c>
      <c r="D204" s="13">
        <f>SUM(D197:D203)</f>
        <v>20.164552800000003</v>
      </c>
      <c r="E204" s="13">
        <f>SUM(E197:E203)</f>
        <v>17.714751199999995</v>
      </c>
      <c r="F204" s="13">
        <f>SUM(F197:F203)</f>
        <v>67.7647182</v>
      </c>
      <c r="G204" s="13">
        <f>SUM(G197:G203)</f>
        <v>511.95868479999996</v>
      </c>
      <c r="H204" s="188"/>
    </row>
    <row r="205" spans="1:8" ht="51">
      <c r="A205" s="240" t="s">
        <v>149</v>
      </c>
      <c r="B205" s="142" t="s">
        <v>338</v>
      </c>
      <c r="C205" s="192" t="s">
        <v>189</v>
      </c>
      <c r="D205" s="6">
        <v>13.263946666666664</v>
      </c>
      <c r="E205" s="6">
        <v>8.76112</v>
      </c>
      <c r="F205" s="6">
        <v>29.748933333333333</v>
      </c>
      <c r="G205" s="6">
        <v>231</v>
      </c>
      <c r="H205" s="188" t="s">
        <v>219</v>
      </c>
    </row>
    <row r="206" spans="1:8" ht="15.75">
      <c r="A206" s="240"/>
      <c r="B206" s="143" t="s">
        <v>42</v>
      </c>
      <c r="C206" s="3">
        <v>150</v>
      </c>
      <c r="D206" s="15">
        <f>0.75*C206/150</f>
        <v>0.75</v>
      </c>
      <c r="E206" s="15">
        <f>0.15*C206/150</f>
        <v>0.15</v>
      </c>
      <c r="F206" s="15">
        <f>15.15*C206/150</f>
        <v>15.15</v>
      </c>
      <c r="G206" s="15">
        <f>69*C206/150</f>
        <v>69</v>
      </c>
      <c r="H206" s="188" t="s">
        <v>55</v>
      </c>
    </row>
    <row r="207" spans="1:8" ht="38.25">
      <c r="A207" s="240"/>
      <c r="B207" s="126" t="s">
        <v>335</v>
      </c>
      <c r="C207" s="3">
        <v>50</v>
      </c>
      <c r="D207" s="15">
        <v>3.3621920000000003</v>
      </c>
      <c r="E207" s="15">
        <v>3.238834133333333</v>
      </c>
      <c r="F207" s="15">
        <v>30.689210066666668</v>
      </c>
      <c r="G207" s="15">
        <v>135</v>
      </c>
      <c r="H207" s="224" t="s">
        <v>65</v>
      </c>
    </row>
    <row r="208" spans="1:8" ht="15.75">
      <c r="A208" s="249" t="s">
        <v>51</v>
      </c>
      <c r="B208" s="249"/>
      <c r="C208" s="4">
        <v>300</v>
      </c>
      <c r="D208" s="13">
        <f>SUM(D205:D207)</f>
        <v>17.376138666666662</v>
      </c>
      <c r="E208" s="13">
        <f>SUM(E205:E207)</f>
        <v>12.149954133333333</v>
      </c>
      <c r="F208" s="13">
        <f>SUM(F205:F207)</f>
        <v>75.5881434</v>
      </c>
      <c r="G208" s="13">
        <f>SUM(G205:G207)</f>
        <v>435</v>
      </c>
      <c r="H208" s="188"/>
    </row>
    <row r="209" spans="1:8" ht="15.75">
      <c r="A209" s="250" t="s">
        <v>37</v>
      </c>
      <c r="B209" s="250"/>
      <c r="C209" s="205"/>
      <c r="D209" s="19">
        <f>D195+D196+D204+D208</f>
        <v>51.98429146666666</v>
      </c>
      <c r="E209" s="19">
        <f>E195+E196+E204+E208</f>
        <v>45.86110533333333</v>
      </c>
      <c r="F209" s="19">
        <f>F195+F196+F204+F208</f>
        <v>196.6974676</v>
      </c>
      <c r="G209" s="19">
        <f>G195+G196+G204+G208</f>
        <v>1320.6206472615384</v>
      </c>
      <c r="H209" s="198"/>
    </row>
    <row r="210" spans="1:8" ht="15.75">
      <c r="A210" s="144"/>
      <c r="B210" s="143"/>
      <c r="C210" s="1"/>
      <c r="D210" s="144"/>
      <c r="E210" s="144"/>
      <c r="F210" s="144"/>
      <c r="G210" s="144"/>
      <c r="H210" s="147"/>
    </row>
    <row r="211" spans="1:8" ht="15">
      <c r="A211" s="264" t="s">
        <v>305</v>
      </c>
      <c r="B211" s="264"/>
      <c r="C211" s="264"/>
      <c r="D211" s="264"/>
      <c r="E211" s="264"/>
      <c r="F211" s="264"/>
      <c r="G211" s="264"/>
      <c r="H211" s="265"/>
    </row>
    <row r="212" spans="1:8" ht="15">
      <c r="A212" s="266"/>
      <c r="B212" s="266"/>
      <c r="C212" s="266"/>
      <c r="D212" s="266"/>
      <c r="E212" s="266"/>
      <c r="F212" s="266"/>
      <c r="G212" s="266"/>
      <c r="H212" s="267"/>
    </row>
    <row r="213" spans="1:8" ht="25.5">
      <c r="A213" s="145" t="s">
        <v>128</v>
      </c>
      <c r="B213" s="146" t="s">
        <v>129</v>
      </c>
      <c r="C213" s="253" t="s">
        <v>304</v>
      </c>
      <c r="D213" s="254"/>
      <c r="E213" s="254"/>
      <c r="F213" s="254"/>
      <c r="G213" s="254"/>
      <c r="H213" s="255"/>
    </row>
    <row r="214" spans="1:8" ht="15.75">
      <c r="A214" s="256" t="s">
        <v>130</v>
      </c>
      <c r="B214" s="258" t="s">
        <v>131</v>
      </c>
      <c r="C214" s="260">
        <v>280</v>
      </c>
      <c r="D214" s="261"/>
      <c r="E214" s="144"/>
      <c r="F214" s="144"/>
      <c r="G214" s="144"/>
      <c r="H214" s="147"/>
    </row>
    <row r="215" spans="1:8" ht="15.75">
      <c r="A215" s="257"/>
      <c r="B215" s="259"/>
      <c r="C215" s="262" t="s">
        <v>132</v>
      </c>
      <c r="D215" s="263"/>
      <c r="E215" s="144"/>
      <c r="F215" s="144"/>
      <c r="G215" s="144"/>
      <c r="H215" s="147"/>
    </row>
    <row r="216" spans="1:8" ht="15.75">
      <c r="A216" s="256" t="s">
        <v>28</v>
      </c>
      <c r="B216" s="258" t="s">
        <v>133</v>
      </c>
      <c r="C216" s="260">
        <v>70</v>
      </c>
      <c r="D216" s="261"/>
      <c r="E216" s="144"/>
      <c r="F216" s="144"/>
      <c r="G216" s="144"/>
      <c r="H216" s="147"/>
    </row>
    <row r="217" spans="1:8" ht="15.75">
      <c r="A217" s="257"/>
      <c r="B217" s="259"/>
      <c r="C217" s="262" t="s">
        <v>134</v>
      </c>
      <c r="D217" s="263"/>
      <c r="E217" s="144"/>
      <c r="F217" s="144"/>
      <c r="G217" s="144"/>
      <c r="H217" s="147"/>
    </row>
    <row r="218" spans="1:8" ht="15.75">
      <c r="A218" s="256" t="s">
        <v>11</v>
      </c>
      <c r="B218" s="258" t="s">
        <v>135</v>
      </c>
      <c r="C218" s="260">
        <v>490</v>
      </c>
      <c r="D218" s="261"/>
      <c r="E218" s="144"/>
      <c r="F218" s="144"/>
      <c r="G218" s="144"/>
      <c r="H218" s="147"/>
    </row>
    <row r="219" spans="1:8" ht="15.75">
      <c r="A219" s="257"/>
      <c r="B219" s="259"/>
      <c r="C219" s="262" t="s">
        <v>136</v>
      </c>
      <c r="D219" s="263"/>
      <c r="E219" s="144"/>
      <c r="F219" s="144"/>
      <c r="G219" s="144"/>
      <c r="H219" s="147"/>
    </row>
    <row r="220" spans="1:8" ht="15.75">
      <c r="A220" s="270" t="s">
        <v>149</v>
      </c>
      <c r="B220" s="258" t="s">
        <v>152</v>
      </c>
      <c r="C220" s="260">
        <v>420</v>
      </c>
      <c r="D220" s="261"/>
      <c r="E220" s="144"/>
      <c r="F220" s="144"/>
      <c r="G220" s="144"/>
      <c r="H220" s="147"/>
    </row>
    <row r="221" spans="1:8" ht="15.75">
      <c r="A221" s="271"/>
      <c r="B221" s="259"/>
      <c r="C221" s="262" t="s">
        <v>153</v>
      </c>
      <c r="D221" s="263"/>
      <c r="E221" s="144"/>
      <c r="F221" s="144"/>
      <c r="G221" s="144"/>
      <c r="H221" s="147"/>
    </row>
    <row r="222" spans="1:8" ht="15.75">
      <c r="A222" s="272"/>
      <c r="B222" s="273"/>
      <c r="C222" s="273"/>
      <c r="D222" s="273"/>
      <c r="E222" s="273"/>
      <c r="F222" s="273"/>
      <c r="G222" s="273"/>
      <c r="H222" s="274"/>
    </row>
    <row r="223" spans="1:8" ht="15.75">
      <c r="A223" s="268" t="s">
        <v>137</v>
      </c>
      <c r="B223" s="269"/>
      <c r="C223" s="44"/>
      <c r="D223" s="44">
        <f>(D14+D35+D54+D73+D93+D114+D135+D157+D175+D195)/10</f>
        <v>9.074508221091811</v>
      </c>
      <c r="E223" s="44">
        <f>(E14+E35+E54+E73+E93+E114+E135+E157+E175+E195)/10</f>
        <v>11.629240282216708</v>
      </c>
      <c r="F223" s="44">
        <f>(F14+F35+F54+F73+F93+F114+F135+F157+F175+F195)/10</f>
        <v>43.50902970392887</v>
      </c>
      <c r="G223" s="44">
        <f>(G14+G35+G54+G73+G93+G114+G135+G157+G175+G195)/10</f>
        <v>292.35374002051276</v>
      </c>
      <c r="H223" s="148"/>
    </row>
    <row r="224" spans="1:8" ht="15.75">
      <c r="A224" s="268" t="s">
        <v>138</v>
      </c>
      <c r="B224" s="269"/>
      <c r="C224" s="44"/>
      <c r="D224" s="44">
        <f>(D23+D44+D63+D81+D102+D123+D145+D165+D184+D204)/10</f>
        <v>18.922952153333334</v>
      </c>
      <c r="E224" s="44">
        <f>(E23+E44+E63+E81+E102+E123+E145+E165+E184+E204)/10</f>
        <v>18.765030206666662</v>
      </c>
      <c r="F224" s="44">
        <f>(F23+F44+F63+F81+F102+F123+F145+F165+F184+F204)/10</f>
        <v>66.44819590333334</v>
      </c>
      <c r="G224" s="44">
        <f>(G23+G44+G63+G81+G102+G123+G145+G165+G184+G204)/10</f>
        <v>506.5616788133333</v>
      </c>
      <c r="H224" s="148"/>
    </row>
    <row r="225" spans="1:8" ht="15.75">
      <c r="A225" s="268" t="s">
        <v>151</v>
      </c>
      <c r="B225" s="269"/>
      <c r="C225" s="44"/>
      <c r="D225" s="44">
        <f aca="true" t="shared" si="0" ref="D225:G226">(D29+D48+D67+D87+D106+D129+D151+D169+D189+D208)/10</f>
        <v>18.640681180512818</v>
      </c>
      <c r="E225" s="44">
        <f t="shared" si="0"/>
        <v>15.583843349743589</v>
      </c>
      <c r="F225" s="44">
        <f t="shared" si="0"/>
        <v>54.72832551333333</v>
      </c>
      <c r="G225" s="44">
        <f t="shared" si="0"/>
        <v>427.88328018461533</v>
      </c>
      <c r="H225" s="148"/>
    </row>
    <row r="226" spans="1:8" ht="15.75">
      <c r="A226" s="268" t="s">
        <v>139</v>
      </c>
      <c r="B226" s="269"/>
      <c r="C226" s="44"/>
      <c r="D226" s="44">
        <f t="shared" si="0"/>
        <v>48.04814155493797</v>
      </c>
      <c r="E226" s="44">
        <f t="shared" si="0"/>
        <v>46.99311383862697</v>
      </c>
      <c r="F226" s="44">
        <f t="shared" si="0"/>
        <v>175.8655511205955</v>
      </c>
      <c r="G226" s="44">
        <f t="shared" si="0"/>
        <v>1288.4486990184616</v>
      </c>
      <c r="H226" s="148"/>
    </row>
  </sheetData>
  <sheetProtection/>
  <mergeCells count="110">
    <mergeCell ref="A225:B225"/>
    <mergeCell ref="A226:B226"/>
    <mergeCell ref="A220:A221"/>
    <mergeCell ref="B220:B221"/>
    <mergeCell ref="C220:D220"/>
    <mergeCell ref="C221:D221"/>
    <mergeCell ref="A223:B223"/>
    <mergeCell ref="A224:B224"/>
    <mergeCell ref="A222:H222"/>
    <mergeCell ref="A216:A217"/>
    <mergeCell ref="B216:B217"/>
    <mergeCell ref="C216:D216"/>
    <mergeCell ref="C217:D217"/>
    <mergeCell ref="A218:A219"/>
    <mergeCell ref="B218:B219"/>
    <mergeCell ref="C218:D218"/>
    <mergeCell ref="C219:D219"/>
    <mergeCell ref="C213:H213"/>
    <mergeCell ref="A214:A215"/>
    <mergeCell ref="B214:B215"/>
    <mergeCell ref="C214:D214"/>
    <mergeCell ref="C215:D215"/>
    <mergeCell ref="A211:H212"/>
    <mergeCell ref="A195:B195"/>
    <mergeCell ref="A197:A203"/>
    <mergeCell ref="A204:B204"/>
    <mergeCell ref="A205:A207"/>
    <mergeCell ref="A208:B208"/>
    <mergeCell ref="A209:B209"/>
    <mergeCell ref="A184:B184"/>
    <mergeCell ref="A185:A188"/>
    <mergeCell ref="A189:B189"/>
    <mergeCell ref="A190:B190"/>
    <mergeCell ref="A191:H191"/>
    <mergeCell ref="A192:A194"/>
    <mergeCell ref="A169:B169"/>
    <mergeCell ref="A170:B170"/>
    <mergeCell ref="A171:H171"/>
    <mergeCell ref="A172:A174"/>
    <mergeCell ref="A175:B175"/>
    <mergeCell ref="A177:A183"/>
    <mergeCell ref="A153:H153"/>
    <mergeCell ref="A154:A156"/>
    <mergeCell ref="A157:B157"/>
    <mergeCell ref="A159:A164"/>
    <mergeCell ref="A165:B165"/>
    <mergeCell ref="A166:A168"/>
    <mergeCell ref="A132:A134"/>
    <mergeCell ref="A135:B135"/>
    <mergeCell ref="A138:A144"/>
    <mergeCell ref="A145:B145"/>
    <mergeCell ref="A151:B151"/>
    <mergeCell ref="A146:A150"/>
    <mergeCell ref="A114:B114"/>
    <mergeCell ref="A116:A122"/>
    <mergeCell ref="A123:B123"/>
    <mergeCell ref="A129:B129"/>
    <mergeCell ref="A131:H131"/>
    <mergeCell ref="A124:A128"/>
    <mergeCell ref="A102:B102"/>
    <mergeCell ref="A103:A105"/>
    <mergeCell ref="A106:B106"/>
    <mergeCell ref="A109:H109"/>
    <mergeCell ref="A110:H110"/>
    <mergeCell ref="A111:A113"/>
    <mergeCell ref="A108:C108"/>
    <mergeCell ref="A87:B87"/>
    <mergeCell ref="A88:B88"/>
    <mergeCell ref="A89:H89"/>
    <mergeCell ref="A90:A92"/>
    <mergeCell ref="A93:B93"/>
    <mergeCell ref="A95:A101"/>
    <mergeCell ref="A69:H69"/>
    <mergeCell ref="A70:A72"/>
    <mergeCell ref="A73:B73"/>
    <mergeCell ref="A75:A80"/>
    <mergeCell ref="A81:B81"/>
    <mergeCell ref="A82:A86"/>
    <mergeCell ref="A51:A53"/>
    <mergeCell ref="A54:B54"/>
    <mergeCell ref="A56:A62"/>
    <mergeCell ref="A63:B63"/>
    <mergeCell ref="A64:A66"/>
    <mergeCell ref="A67:B67"/>
    <mergeCell ref="A37:A43"/>
    <mergeCell ref="A44:B44"/>
    <mergeCell ref="A45:A47"/>
    <mergeCell ref="A48:B48"/>
    <mergeCell ref="A49:B49"/>
    <mergeCell ref="A50:H50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="80" zoomScaleNormal="80" zoomScalePageLayoutView="0" workbookViewId="0" topLeftCell="A1">
      <selection activeCell="B20" sqref="B20"/>
    </sheetView>
  </sheetViews>
  <sheetFormatPr defaultColWidth="9.140625" defaultRowHeight="15"/>
  <cols>
    <col min="1" max="1" width="16.140625" style="97" customWidth="1"/>
    <col min="2" max="2" width="45.8515625" style="116" customWidth="1"/>
    <col min="3" max="3" width="11.57421875" style="97" bestFit="1" customWidth="1"/>
    <col min="4" max="7" width="10.28125" style="97" customWidth="1"/>
    <col min="8" max="8" width="11.00390625" style="97" customWidth="1"/>
  </cols>
  <sheetData>
    <row r="1" spans="1:9" ht="15.75">
      <c r="A1" s="88"/>
      <c r="B1" s="98"/>
      <c r="C1" s="89"/>
      <c r="D1" s="90"/>
      <c r="E1" s="90"/>
      <c r="F1" s="90"/>
      <c r="G1" s="117" t="s">
        <v>20</v>
      </c>
      <c r="H1" s="118"/>
      <c r="I1" s="119"/>
    </row>
    <row r="2" spans="1:9" ht="15.75">
      <c r="A2" s="88"/>
      <c r="B2" s="98"/>
      <c r="C2" s="89"/>
      <c r="D2" s="90"/>
      <c r="E2" s="90"/>
      <c r="F2" s="90"/>
      <c r="G2" s="275" t="s">
        <v>170</v>
      </c>
      <c r="H2" s="276"/>
      <c r="I2" s="119"/>
    </row>
    <row r="3" spans="1:9" ht="15.75">
      <c r="A3" s="88"/>
      <c r="B3" s="98"/>
      <c r="C3" s="89"/>
      <c r="D3" s="90"/>
      <c r="E3" s="90"/>
      <c r="F3" s="90"/>
      <c r="G3" s="117" t="s">
        <v>222</v>
      </c>
      <c r="H3" s="118"/>
      <c r="I3" s="119"/>
    </row>
    <row r="4" spans="1:8" ht="15.75">
      <c r="A4" s="88"/>
      <c r="B4" s="98"/>
      <c r="C4" s="89"/>
      <c r="D4" s="90"/>
      <c r="E4" s="90"/>
      <c r="F4" s="90"/>
      <c r="G4" s="91"/>
      <c r="H4" s="63"/>
    </row>
    <row r="5" spans="1:8" ht="18.75">
      <c r="A5" s="277" t="s">
        <v>40</v>
      </c>
      <c r="B5" s="278"/>
      <c r="C5" s="278"/>
      <c r="D5" s="278"/>
      <c r="E5" s="278"/>
      <c r="F5" s="278"/>
      <c r="G5" s="278"/>
      <c r="H5" s="279"/>
    </row>
    <row r="6" spans="1:8" ht="15.75">
      <c r="A6" s="280" t="s">
        <v>119</v>
      </c>
      <c r="B6" s="280"/>
      <c r="C6" s="153"/>
      <c r="D6" s="92"/>
      <c r="E6" s="92"/>
      <c r="F6" s="92"/>
      <c r="G6" s="92"/>
      <c r="H6" s="154"/>
    </row>
    <row r="7" spans="1:8" ht="15.75">
      <c r="A7" s="281" t="s">
        <v>2</v>
      </c>
      <c r="B7" s="282" t="s">
        <v>0</v>
      </c>
      <c r="C7" s="281" t="s">
        <v>1</v>
      </c>
      <c r="D7" s="282" t="s">
        <v>3</v>
      </c>
      <c r="E7" s="282"/>
      <c r="F7" s="282"/>
      <c r="G7" s="64"/>
      <c r="H7" s="281" t="s">
        <v>7</v>
      </c>
    </row>
    <row r="8" spans="1:8" ht="15.75">
      <c r="A8" s="281"/>
      <c r="B8" s="282"/>
      <c r="C8" s="281"/>
      <c r="D8" s="65" t="s">
        <v>4</v>
      </c>
      <c r="E8" s="65" t="s">
        <v>5</v>
      </c>
      <c r="F8" s="65" t="s">
        <v>6</v>
      </c>
      <c r="G8" s="64" t="s">
        <v>46</v>
      </c>
      <c r="H8" s="281"/>
    </row>
    <row r="9" spans="1:8" ht="15.75">
      <c r="A9" s="283" t="s">
        <v>8</v>
      </c>
      <c r="B9" s="283"/>
      <c r="C9" s="283"/>
      <c r="D9" s="283"/>
      <c r="E9" s="283"/>
      <c r="F9" s="283"/>
      <c r="G9" s="283"/>
      <c r="H9" s="283"/>
    </row>
    <row r="10" spans="1:8" ht="15.75">
      <c r="A10" s="284" t="s">
        <v>30</v>
      </c>
      <c r="B10" s="284"/>
      <c r="C10" s="284"/>
      <c r="D10" s="284"/>
      <c r="E10" s="284"/>
      <c r="F10" s="284"/>
      <c r="G10" s="284"/>
      <c r="H10" s="284"/>
    </row>
    <row r="11" spans="1:8" ht="25.5">
      <c r="A11" s="281" t="s">
        <v>9</v>
      </c>
      <c r="B11" s="62" t="s">
        <v>245</v>
      </c>
      <c r="C11" s="155" t="s">
        <v>223</v>
      </c>
      <c r="D11" s="66">
        <f>4.662541*C11/130</f>
        <v>5.738512</v>
      </c>
      <c r="E11" s="66">
        <f>2.221648*C11/130</f>
        <v>2.734336</v>
      </c>
      <c r="F11" s="66">
        <f>29.896685*C11/130</f>
        <v>36.79592</v>
      </c>
      <c r="G11" s="66">
        <f>105*C11/140</f>
        <v>120</v>
      </c>
      <c r="H11" s="156" t="s">
        <v>340</v>
      </c>
    </row>
    <row r="12" spans="1:8" ht="15.75">
      <c r="A12" s="281"/>
      <c r="B12" s="99" t="s">
        <v>235</v>
      </c>
      <c r="C12" s="155" t="s">
        <v>126</v>
      </c>
      <c r="D12" s="66">
        <v>2.33</v>
      </c>
      <c r="E12" s="66">
        <v>8.12</v>
      </c>
      <c r="F12" s="66">
        <v>15.55</v>
      </c>
      <c r="G12" s="16">
        <v>144.7</v>
      </c>
      <c r="H12" s="81" t="s">
        <v>67</v>
      </c>
    </row>
    <row r="13" spans="1:8" ht="25.5">
      <c r="A13" s="281"/>
      <c r="B13" s="99" t="s">
        <v>236</v>
      </c>
      <c r="C13" s="67" t="s">
        <v>120</v>
      </c>
      <c r="D13" s="73">
        <f>1.62432*C13/150</f>
        <v>2.1657599999999997</v>
      </c>
      <c r="E13" s="73">
        <f>1.66144*C13/150</f>
        <v>2.2152533333333335</v>
      </c>
      <c r="F13" s="73">
        <f>9.03266*C13/150</f>
        <v>12.043546666666666</v>
      </c>
      <c r="G13" s="73">
        <f>57.58088*C13/150</f>
        <v>76.77450666666667</v>
      </c>
      <c r="H13" s="54" t="s">
        <v>172</v>
      </c>
    </row>
    <row r="14" spans="1:8" ht="15.75">
      <c r="A14" s="285" t="s">
        <v>10</v>
      </c>
      <c r="B14" s="285"/>
      <c r="C14" s="157" t="s">
        <v>224</v>
      </c>
      <c r="D14" s="68">
        <f>SUM(D11:D13)</f>
        <v>10.234272</v>
      </c>
      <c r="E14" s="68">
        <f>SUM(E11:E13)</f>
        <v>13.069589333333333</v>
      </c>
      <c r="F14" s="68">
        <f>SUM(F11:F13)</f>
        <v>64.38946666666668</v>
      </c>
      <c r="G14" s="68">
        <f>SUM(G11:G13)</f>
        <v>341.4745066666667</v>
      </c>
      <c r="H14" s="156"/>
    </row>
    <row r="15" spans="1:8" ht="15.75">
      <c r="A15" s="158" t="s">
        <v>38</v>
      </c>
      <c r="B15" s="100" t="s">
        <v>42</v>
      </c>
      <c r="C15" s="64">
        <v>180</v>
      </c>
      <c r="D15" s="82">
        <f>0.75*C15/150</f>
        <v>0.9</v>
      </c>
      <c r="E15" s="82">
        <f>0.15*C15/150</f>
        <v>0.18</v>
      </c>
      <c r="F15" s="82">
        <f>15.15*C15/150</f>
        <v>18.18</v>
      </c>
      <c r="G15" s="82">
        <f>69*C15/150</f>
        <v>82.8</v>
      </c>
      <c r="H15" s="156" t="s">
        <v>55</v>
      </c>
    </row>
    <row r="16" spans="1:8" ht="38.25">
      <c r="A16" s="282" t="s">
        <v>11</v>
      </c>
      <c r="B16" s="101" t="s">
        <v>246</v>
      </c>
      <c r="C16" s="69">
        <v>50</v>
      </c>
      <c r="D16" s="66">
        <f>0.5533845*C16/30</f>
        <v>0.9223075</v>
      </c>
      <c r="E16" s="66">
        <f>1.4412174*C16/30</f>
        <v>2.4020289999999997</v>
      </c>
      <c r="F16" s="66">
        <f>2.8616133*C16/30</f>
        <v>4.7693555000000005</v>
      </c>
      <c r="G16" s="66">
        <f>26.6*C16/30</f>
        <v>44.333333333333336</v>
      </c>
      <c r="H16" s="159" t="s">
        <v>160</v>
      </c>
    </row>
    <row r="17" spans="1:8" ht="63.75">
      <c r="A17" s="282"/>
      <c r="B17" s="62" t="s">
        <v>247</v>
      </c>
      <c r="C17" s="160" t="s">
        <v>122</v>
      </c>
      <c r="D17" s="66">
        <v>4.002188</v>
      </c>
      <c r="E17" s="66">
        <v>7.6576319999999996</v>
      </c>
      <c r="F17" s="66">
        <v>8.4317</v>
      </c>
      <c r="G17" s="66">
        <v>118.8</v>
      </c>
      <c r="H17" s="156" t="s">
        <v>175</v>
      </c>
    </row>
    <row r="18" spans="1:8" ht="25.5">
      <c r="A18" s="282"/>
      <c r="B18" s="62" t="s">
        <v>167</v>
      </c>
      <c r="C18" s="53">
        <v>70</v>
      </c>
      <c r="D18" s="59">
        <f>7.3823464*C18/50</f>
        <v>10.335284960000001</v>
      </c>
      <c r="E18" s="59">
        <f>8.9464936*C18/50</f>
        <v>12.52509104</v>
      </c>
      <c r="F18" s="59">
        <f>1.657565*C18/50</f>
        <v>2.320591</v>
      </c>
      <c r="G18" s="59">
        <f>116.678088*C18/50</f>
        <v>163.3493232</v>
      </c>
      <c r="H18" s="54" t="s">
        <v>168</v>
      </c>
    </row>
    <row r="19" spans="1:8" ht="25.5">
      <c r="A19" s="282"/>
      <c r="B19" s="99" t="s">
        <v>237</v>
      </c>
      <c r="C19" s="81">
        <v>130</v>
      </c>
      <c r="D19" s="71">
        <f>2.612918*C19/110</f>
        <v>3.087994</v>
      </c>
      <c r="E19" s="71">
        <f>2.801876*C19/110</f>
        <v>3.311308</v>
      </c>
      <c r="F19" s="71">
        <f>26.4899635*C19/110</f>
        <v>31.3063205</v>
      </c>
      <c r="G19" s="71">
        <f>133*C19/110</f>
        <v>157.1818181818182</v>
      </c>
      <c r="H19" s="156" t="s">
        <v>166</v>
      </c>
    </row>
    <row r="20" spans="1:8" ht="15.75">
      <c r="A20" s="282"/>
      <c r="B20" s="99" t="s">
        <v>12</v>
      </c>
      <c r="C20" s="69">
        <v>25</v>
      </c>
      <c r="D20" s="66">
        <f>1.32*C20/20</f>
        <v>1.65</v>
      </c>
      <c r="E20" s="66">
        <f>0.22*C20/20</f>
        <v>0.275</v>
      </c>
      <c r="F20" s="66">
        <f>8.2*C20/20</f>
        <v>10.249999999999998</v>
      </c>
      <c r="G20" s="71">
        <f>40*C20/20</f>
        <v>50</v>
      </c>
      <c r="H20" s="156" t="s">
        <v>60</v>
      </c>
    </row>
    <row r="21" spans="1:8" ht="15.75">
      <c r="A21" s="282"/>
      <c r="B21" s="99" t="s">
        <v>41</v>
      </c>
      <c r="C21" s="160">
        <v>30</v>
      </c>
      <c r="D21" s="66">
        <f>2.28*C21/30</f>
        <v>2.28</v>
      </c>
      <c r="E21" s="66">
        <f>0.24*C21/30</f>
        <v>0.23999999999999996</v>
      </c>
      <c r="F21" s="66">
        <f>14.76*C21/30</f>
        <v>14.76</v>
      </c>
      <c r="G21" s="66">
        <f>70.5*C21/30</f>
        <v>70.5</v>
      </c>
      <c r="H21" s="156" t="s">
        <v>59</v>
      </c>
    </row>
    <row r="22" spans="1:8" ht="25.5">
      <c r="A22" s="282"/>
      <c r="B22" s="102" t="s">
        <v>248</v>
      </c>
      <c r="C22" s="69">
        <v>180</v>
      </c>
      <c r="D22" s="66">
        <f>0.11*C22/150</f>
        <v>0.132</v>
      </c>
      <c r="E22" s="66">
        <f>0.11*C22/150</f>
        <v>0.132</v>
      </c>
      <c r="F22" s="66">
        <f>11.75*C22/150</f>
        <v>14.1</v>
      </c>
      <c r="G22" s="66">
        <f>48.5*C22/150</f>
        <v>58.2</v>
      </c>
      <c r="H22" s="156" t="s">
        <v>75</v>
      </c>
    </row>
    <row r="23" spans="1:8" ht="15.75">
      <c r="A23" s="285" t="s">
        <v>13</v>
      </c>
      <c r="B23" s="285"/>
      <c r="C23" s="161">
        <v>705</v>
      </c>
      <c r="D23" s="72">
        <f>SUM(D16:D22)</f>
        <v>22.409774460000005</v>
      </c>
      <c r="E23" s="72">
        <f>SUM(E16:E22)</f>
        <v>26.543060039999997</v>
      </c>
      <c r="F23" s="72">
        <f>SUM(F16:F22)</f>
        <v>85.937967</v>
      </c>
      <c r="G23" s="72">
        <f>SUM(G16:G22)</f>
        <v>662.3644747151516</v>
      </c>
      <c r="H23" s="156"/>
    </row>
    <row r="24" spans="1:8" ht="39">
      <c r="A24" s="281" t="s">
        <v>149</v>
      </c>
      <c r="B24" s="103" t="s">
        <v>249</v>
      </c>
      <c r="C24" s="47">
        <v>200</v>
      </c>
      <c r="D24" s="73">
        <f>14.2*C24/160</f>
        <v>17.75</v>
      </c>
      <c r="E24" s="73">
        <f>11.49*C24/160</f>
        <v>14.3625</v>
      </c>
      <c r="F24" s="73">
        <f>13.81*C24/160</f>
        <v>17.2625</v>
      </c>
      <c r="G24" s="73">
        <f>215.49*C24/160</f>
        <v>269.3625</v>
      </c>
      <c r="H24" s="47" t="s">
        <v>169</v>
      </c>
    </row>
    <row r="25" spans="1:8" ht="15.75">
      <c r="A25" s="281"/>
      <c r="B25" s="99" t="s">
        <v>41</v>
      </c>
      <c r="C25" s="160">
        <v>20</v>
      </c>
      <c r="D25" s="66">
        <f>2.28*C25/30</f>
        <v>1.5199999999999998</v>
      </c>
      <c r="E25" s="66">
        <f>0.24*C25/30</f>
        <v>0.16</v>
      </c>
      <c r="F25" s="66">
        <f>14.76*C25/30</f>
        <v>9.84</v>
      </c>
      <c r="G25" s="66">
        <f>70.5*C25/30</f>
        <v>47</v>
      </c>
      <c r="H25" s="156" t="s">
        <v>59</v>
      </c>
    </row>
    <row r="26" spans="1:8" ht="15.75">
      <c r="A26" s="281"/>
      <c r="B26" s="99" t="s">
        <v>12</v>
      </c>
      <c r="C26" s="69">
        <v>20</v>
      </c>
      <c r="D26" s="66">
        <v>1.32</v>
      </c>
      <c r="E26" s="66">
        <v>0.22</v>
      </c>
      <c r="F26" s="66">
        <v>8.2</v>
      </c>
      <c r="G26" s="71">
        <v>40</v>
      </c>
      <c r="H26" s="156" t="s">
        <v>60</v>
      </c>
    </row>
    <row r="27" spans="1:8" ht="15.75">
      <c r="A27" s="281"/>
      <c r="B27" s="62" t="s">
        <v>174</v>
      </c>
      <c r="C27" s="69">
        <v>180</v>
      </c>
      <c r="D27" s="66">
        <f>4.35*C27/150</f>
        <v>5.219999999999999</v>
      </c>
      <c r="E27" s="66">
        <f>4.8*C27/150</f>
        <v>5.76</v>
      </c>
      <c r="F27" s="66">
        <f>7.05*C27/150</f>
        <v>8.46</v>
      </c>
      <c r="G27" s="71">
        <f>90*C27/150</f>
        <v>108</v>
      </c>
      <c r="H27" s="156" t="s">
        <v>62</v>
      </c>
    </row>
    <row r="28" spans="1:8" ht="15.75">
      <c r="A28" s="281"/>
      <c r="B28" s="99" t="s">
        <v>156</v>
      </c>
      <c r="C28" s="160">
        <v>11</v>
      </c>
      <c r="D28" s="66">
        <v>0.8</v>
      </c>
      <c r="E28" s="66">
        <v>2.1</v>
      </c>
      <c r="F28" s="66">
        <v>7.5</v>
      </c>
      <c r="G28" s="66">
        <v>52</v>
      </c>
      <c r="H28" s="156" t="s">
        <v>157</v>
      </c>
    </row>
    <row r="29" spans="1:8" ht="15.75">
      <c r="A29" s="283" t="s">
        <v>150</v>
      </c>
      <c r="B29" s="283"/>
      <c r="C29" s="65">
        <v>431</v>
      </c>
      <c r="D29" s="77">
        <f>SUM(D24:D28)</f>
        <v>26.61</v>
      </c>
      <c r="E29" s="77">
        <f>SUM(E24:E28)</f>
        <v>22.602500000000003</v>
      </c>
      <c r="F29" s="77">
        <f>SUM(F24:F28)</f>
        <v>51.262499999999996</v>
      </c>
      <c r="G29" s="77">
        <f>SUM(G24:G28)</f>
        <v>516.3625</v>
      </c>
      <c r="H29" s="156"/>
    </row>
    <row r="30" spans="1:8" ht="15.75">
      <c r="A30" s="286" t="s">
        <v>14</v>
      </c>
      <c r="B30" s="286"/>
      <c r="C30" s="162"/>
      <c r="D30" s="74">
        <f>D14+D15+D23+D29</f>
        <v>60.15404646</v>
      </c>
      <c r="E30" s="74">
        <f>E14+E15+E23+E29</f>
        <v>62.39514937333334</v>
      </c>
      <c r="F30" s="74">
        <f>F14+F15+F23+F29</f>
        <v>219.76993366666665</v>
      </c>
      <c r="G30" s="74">
        <f>G14+G15+G23+G29</f>
        <v>1603.0014813818182</v>
      </c>
      <c r="H30" s="163"/>
    </row>
    <row r="31" spans="1:8" ht="15.75">
      <c r="A31" s="284" t="s">
        <v>31</v>
      </c>
      <c r="B31" s="284"/>
      <c r="C31" s="284"/>
      <c r="D31" s="284"/>
      <c r="E31" s="284"/>
      <c r="F31" s="284"/>
      <c r="G31" s="284"/>
      <c r="H31" s="284"/>
    </row>
    <row r="32" spans="1:8" ht="38.25">
      <c r="A32" s="282" t="s">
        <v>9</v>
      </c>
      <c r="B32" s="62" t="s">
        <v>250</v>
      </c>
      <c r="C32" s="47">
        <v>160</v>
      </c>
      <c r="D32" s="73">
        <f>4.961884*C32/155</f>
        <v>5.121944774193549</v>
      </c>
      <c r="E32" s="73">
        <f>3.065216*C32/155</f>
        <v>3.1640939354838706</v>
      </c>
      <c r="F32" s="73">
        <f>19.133478*C32/155</f>
        <v>19.750686967741935</v>
      </c>
      <c r="G32" s="230">
        <f>92*C32/135</f>
        <v>109.03703703703704</v>
      </c>
      <c r="H32" s="164" t="s">
        <v>176</v>
      </c>
    </row>
    <row r="33" spans="1:8" ht="25.5">
      <c r="A33" s="282"/>
      <c r="B33" s="62" t="s">
        <v>251</v>
      </c>
      <c r="C33" s="165" t="s">
        <v>225</v>
      </c>
      <c r="D33" s="71">
        <v>6.52</v>
      </c>
      <c r="E33" s="71">
        <v>9.25</v>
      </c>
      <c r="F33" s="71">
        <v>21.965</v>
      </c>
      <c r="G33" s="71">
        <v>198.6</v>
      </c>
      <c r="H33" s="159" t="s">
        <v>52</v>
      </c>
    </row>
    <row r="34" spans="1:8" ht="25.5">
      <c r="A34" s="282"/>
      <c r="B34" s="62" t="s">
        <v>252</v>
      </c>
      <c r="C34" s="69">
        <v>200</v>
      </c>
      <c r="D34" s="71">
        <f>2.46*C34/180</f>
        <v>2.7333333333333334</v>
      </c>
      <c r="E34" s="71">
        <f>1.86*C34/180</f>
        <v>2.066666666666667</v>
      </c>
      <c r="F34" s="71">
        <f>11.94*C34/180</f>
        <v>13.266666666666667</v>
      </c>
      <c r="G34" s="71">
        <f>64*C34/180</f>
        <v>71.11111111111111</v>
      </c>
      <c r="H34" s="159" t="s">
        <v>81</v>
      </c>
    </row>
    <row r="35" spans="1:8" ht="15.75">
      <c r="A35" s="285" t="s">
        <v>10</v>
      </c>
      <c r="B35" s="285"/>
      <c r="C35" s="64">
        <v>410</v>
      </c>
      <c r="D35" s="68">
        <f>D32+D33+D34</f>
        <v>14.375278107526881</v>
      </c>
      <c r="E35" s="68">
        <f>E32+E33+E34</f>
        <v>14.480760602150538</v>
      </c>
      <c r="F35" s="68">
        <f>F32+F33+F34</f>
        <v>54.9823536344086</v>
      </c>
      <c r="G35" s="68">
        <f>G32+G33+G34</f>
        <v>378.7481481481482</v>
      </c>
      <c r="H35" s="156"/>
    </row>
    <row r="36" spans="1:8" ht="15.75">
      <c r="A36" s="166" t="s">
        <v>38</v>
      </c>
      <c r="B36" s="100" t="s">
        <v>42</v>
      </c>
      <c r="C36" s="64">
        <v>180</v>
      </c>
      <c r="D36" s="82">
        <f>0.75*C36/150</f>
        <v>0.9</v>
      </c>
      <c r="E36" s="82">
        <f>0.15*C36/150</f>
        <v>0.18</v>
      </c>
      <c r="F36" s="82">
        <f>15.15*C36/150</f>
        <v>18.18</v>
      </c>
      <c r="G36" s="82">
        <f>69*C36/150</f>
        <v>82.8</v>
      </c>
      <c r="H36" s="156" t="s">
        <v>55</v>
      </c>
    </row>
    <row r="37" spans="1:8" ht="38.25">
      <c r="A37" s="282" t="s">
        <v>11</v>
      </c>
      <c r="B37" s="62" t="s">
        <v>253</v>
      </c>
      <c r="C37" s="160">
        <v>50</v>
      </c>
      <c r="D37" s="16">
        <f>0.435955*C37/30</f>
        <v>0.7265916666666666</v>
      </c>
      <c r="E37" s="16">
        <f>2.379704*C37/30</f>
        <v>3.966173333333333</v>
      </c>
      <c r="F37" s="16">
        <f>1.967329*C37/30</f>
        <v>3.2788816666666665</v>
      </c>
      <c r="G37" s="86">
        <f>31*C37/30</f>
        <v>51.666666666666664</v>
      </c>
      <c r="H37" s="156" t="s">
        <v>178</v>
      </c>
    </row>
    <row r="38" spans="1:8" ht="38.25">
      <c r="A38" s="282"/>
      <c r="B38" s="62" t="s">
        <v>254</v>
      </c>
      <c r="C38" s="81" t="s">
        <v>123</v>
      </c>
      <c r="D38" s="16">
        <v>5.56104</v>
      </c>
      <c r="E38" s="16">
        <v>3.2049600000000003</v>
      </c>
      <c r="F38" s="16">
        <v>12.965679999999995</v>
      </c>
      <c r="G38" s="71">
        <v>102.9</v>
      </c>
      <c r="H38" s="156" t="s">
        <v>77</v>
      </c>
    </row>
    <row r="39" spans="1:8" ht="25.5">
      <c r="A39" s="282"/>
      <c r="B39" s="62" t="s">
        <v>179</v>
      </c>
      <c r="C39" s="47">
        <v>70</v>
      </c>
      <c r="D39" s="73">
        <f>6.55493333333333*C39/50</f>
        <v>9.176906666666662</v>
      </c>
      <c r="E39" s="73">
        <f>8.9628*C39/50</f>
        <v>12.54792</v>
      </c>
      <c r="F39" s="73">
        <f>6.37*C39/50</f>
        <v>8.918000000000001</v>
      </c>
      <c r="G39" s="73">
        <f>132*C39/50</f>
        <v>184.8</v>
      </c>
      <c r="H39" s="219" t="s">
        <v>49</v>
      </c>
    </row>
    <row r="40" spans="1:8" ht="25.5">
      <c r="A40" s="282"/>
      <c r="B40" s="62" t="s">
        <v>255</v>
      </c>
      <c r="C40" s="81">
        <v>130</v>
      </c>
      <c r="D40" s="71">
        <f>6.03*C40/110</f>
        <v>7.126363636363636</v>
      </c>
      <c r="E40" s="71">
        <f>4.6*C40/110</f>
        <v>5.4363636363636365</v>
      </c>
      <c r="F40" s="71">
        <f>26.35*C40/110</f>
        <v>31.14090909090909</v>
      </c>
      <c r="G40" s="71">
        <f>144*C40/110</f>
        <v>170.1818181818182</v>
      </c>
      <c r="H40" s="156" t="s">
        <v>79</v>
      </c>
    </row>
    <row r="41" spans="1:8" ht="25.5">
      <c r="A41" s="282"/>
      <c r="B41" s="99" t="s">
        <v>238</v>
      </c>
      <c r="C41" s="69">
        <v>180</v>
      </c>
      <c r="D41" s="66">
        <f>0.11*C41/180</f>
        <v>0.11</v>
      </c>
      <c r="E41" s="66">
        <f>0.04*C41/180</f>
        <v>0.04</v>
      </c>
      <c r="F41" s="66">
        <f>9.84*C41/180</f>
        <v>9.84</v>
      </c>
      <c r="G41" s="71">
        <f>40.17*C41/180</f>
        <v>40.17</v>
      </c>
      <c r="H41" s="156" t="s">
        <v>112</v>
      </c>
    </row>
    <row r="42" spans="1:8" ht="15.75">
      <c r="A42" s="282"/>
      <c r="B42" s="99" t="s">
        <v>12</v>
      </c>
      <c r="C42" s="69">
        <v>25</v>
      </c>
      <c r="D42" s="66">
        <f>1.32*C42/20</f>
        <v>1.65</v>
      </c>
      <c r="E42" s="66">
        <f>0.22*C42/20</f>
        <v>0.275</v>
      </c>
      <c r="F42" s="66">
        <f>8.2*C42/20</f>
        <v>10.249999999999998</v>
      </c>
      <c r="G42" s="71">
        <f>40*C42/20</f>
        <v>50</v>
      </c>
      <c r="H42" s="156" t="s">
        <v>60</v>
      </c>
    </row>
    <row r="43" spans="1:8" ht="15.75">
      <c r="A43" s="282"/>
      <c r="B43" s="99" t="s">
        <v>41</v>
      </c>
      <c r="C43" s="160">
        <v>25</v>
      </c>
      <c r="D43" s="66">
        <f>2.28*C43/30</f>
        <v>1.8999999999999997</v>
      </c>
      <c r="E43" s="66">
        <f>0.24*C43/30</f>
        <v>0.2</v>
      </c>
      <c r="F43" s="66">
        <f>14.76*C43/30</f>
        <v>12.3</v>
      </c>
      <c r="G43" s="66">
        <f>70.5*C43/30</f>
        <v>58.75</v>
      </c>
      <c r="H43" s="156" t="s">
        <v>59</v>
      </c>
    </row>
    <row r="44" spans="1:8" ht="15.75">
      <c r="A44" s="285" t="s">
        <v>13</v>
      </c>
      <c r="B44" s="285"/>
      <c r="C44" s="64">
        <v>690</v>
      </c>
      <c r="D44" s="72">
        <f>SUM(D37:D43)</f>
        <v>26.25090196969696</v>
      </c>
      <c r="E44" s="72">
        <f>SUM(E37:E43)</f>
        <v>25.67041696969697</v>
      </c>
      <c r="F44" s="72">
        <f>SUM(F37:F43)</f>
        <v>88.69347075757575</v>
      </c>
      <c r="G44" s="72">
        <f>SUM(G37:G43)</f>
        <v>658.4684848484849</v>
      </c>
      <c r="H44" s="156"/>
    </row>
    <row r="45" spans="1:8" ht="38.25">
      <c r="A45" s="281" t="s">
        <v>149</v>
      </c>
      <c r="B45" s="126" t="s">
        <v>327</v>
      </c>
      <c r="C45" s="165" t="s">
        <v>226</v>
      </c>
      <c r="D45" s="16">
        <v>12.0216622</v>
      </c>
      <c r="E45" s="16">
        <v>12.6157128</v>
      </c>
      <c r="F45" s="16">
        <v>69.97005770000001</v>
      </c>
      <c r="G45" s="71">
        <v>441</v>
      </c>
      <c r="H45" s="156" t="s">
        <v>54</v>
      </c>
    </row>
    <row r="46" spans="1:8" ht="15.75">
      <c r="A46" s="281"/>
      <c r="B46" s="100" t="s">
        <v>256</v>
      </c>
      <c r="C46" s="165" t="s">
        <v>120</v>
      </c>
      <c r="D46" s="16">
        <f>0.0376*C46/180</f>
        <v>0.04177777777777778</v>
      </c>
      <c r="E46" s="16">
        <f>0.008976*C46/180</f>
        <v>0.009973333333333332</v>
      </c>
      <c r="F46" s="16">
        <f>6.81863*C46/180</f>
        <v>7.576255555555555</v>
      </c>
      <c r="G46" s="71">
        <f>29.34*C46/180</f>
        <v>32.6</v>
      </c>
      <c r="H46" s="156" t="s">
        <v>54</v>
      </c>
    </row>
    <row r="47" spans="1:8" ht="15.75">
      <c r="A47" s="281"/>
      <c r="B47" s="104" t="s">
        <v>184</v>
      </c>
      <c r="C47" s="69">
        <v>100</v>
      </c>
      <c r="D47" s="75">
        <v>0.4</v>
      </c>
      <c r="E47" s="75">
        <v>0.4</v>
      </c>
      <c r="F47" s="75">
        <v>9.8</v>
      </c>
      <c r="G47" s="75">
        <v>47</v>
      </c>
      <c r="H47" s="156" t="s">
        <v>65</v>
      </c>
    </row>
    <row r="48" spans="1:8" ht="15.75">
      <c r="A48" s="287" t="s">
        <v>150</v>
      </c>
      <c r="B48" s="287"/>
      <c r="C48" s="76" t="s">
        <v>227</v>
      </c>
      <c r="D48" s="77">
        <f>SUM(D45:D47)</f>
        <v>12.463439977777778</v>
      </c>
      <c r="E48" s="77">
        <f>SUM(E45:E47)</f>
        <v>13.025686133333334</v>
      </c>
      <c r="F48" s="77">
        <f>SUM(F45:F47)</f>
        <v>87.34631325555556</v>
      </c>
      <c r="G48" s="77">
        <f>SUM(G45:G47)</f>
        <v>520.6</v>
      </c>
      <c r="H48" s="78"/>
    </row>
    <row r="49" spans="1:8" ht="15.75">
      <c r="A49" s="288" t="s">
        <v>35</v>
      </c>
      <c r="B49" s="288"/>
      <c r="C49" s="79"/>
      <c r="D49" s="80">
        <f>D35+D36+D44+D48</f>
        <v>53.98962005500162</v>
      </c>
      <c r="E49" s="80">
        <f>E35+E36+E44+E48</f>
        <v>53.35686370518084</v>
      </c>
      <c r="F49" s="80">
        <f>F35+F36+F44+F48</f>
        <v>249.20213764753993</v>
      </c>
      <c r="G49" s="80">
        <f>G35+G36+G44+G48</f>
        <v>1640.6166329966331</v>
      </c>
      <c r="H49" s="167"/>
    </row>
    <row r="50" spans="1:8" ht="15.75">
      <c r="A50" s="284" t="s">
        <v>32</v>
      </c>
      <c r="B50" s="284"/>
      <c r="C50" s="284"/>
      <c r="D50" s="284"/>
      <c r="E50" s="284"/>
      <c r="F50" s="284"/>
      <c r="G50" s="284"/>
      <c r="H50" s="284"/>
    </row>
    <row r="51" spans="1:8" ht="25.5">
      <c r="A51" s="282" t="s">
        <v>9</v>
      </c>
      <c r="B51" s="62" t="s">
        <v>257</v>
      </c>
      <c r="C51" s="69">
        <v>160</v>
      </c>
      <c r="D51" s="66">
        <f>3.9339*C51/150</f>
        <v>4.19616</v>
      </c>
      <c r="E51" s="66">
        <f>1.73184*C51/150</f>
        <v>1.847296</v>
      </c>
      <c r="F51" s="66">
        <f>27.28908*C51/150</f>
        <v>29.108352</v>
      </c>
      <c r="G51" s="66">
        <f>140.4*C51/150</f>
        <v>149.76</v>
      </c>
      <c r="H51" s="159" t="s">
        <v>182</v>
      </c>
    </row>
    <row r="52" spans="1:8" ht="25.5">
      <c r="A52" s="282"/>
      <c r="B52" s="62" t="s">
        <v>251</v>
      </c>
      <c r="C52" s="165" t="s">
        <v>225</v>
      </c>
      <c r="D52" s="71">
        <v>6.52</v>
      </c>
      <c r="E52" s="71">
        <v>9.25</v>
      </c>
      <c r="F52" s="71">
        <v>21.965</v>
      </c>
      <c r="G52" s="71">
        <v>198.6</v>
      </c>
      <c r="H52" s="159" t="s">
        <v>52</v>
      </c>
    </row>
    <row r="53" spans="1:8" ht="15.75">
      <c r="A53" s="282"/>
      <c r="B53" s="62" t="s">
        <v>258</v>
      </c>
      <c r="C53" s="53">
        <v>200</v>
      </c>
      <c r="D53" s="73">
        <f>1.551*C53/200</f>
        <v>1.551</v>
      </c>
      <c r="E53" s="73">
        <f>1.58488*C53/200</f>
        <v>1.58488</v>
      </c>
      <c r="F53" s="73">
        <f>2.1749*C53/200</f>
        <v>2.1749</v>
      </c>
      <c r="G53" s="73">
        <f>29.16752*C53/200</f>
        <v>29.16752</v>
      </c>
      <c r="H53" s="54" t="s">
        <v>183</v>
      </c>
    </row>
    <row r="54" spans="1:8" ht="15.75">
      <c r="A54" s="285" t="s">
        <v>10</v>
      </c>
      <c r="B54" s="285"/>
      <c r="C54" s="64">
        <v>410</v>
      </c>
      <c r="D54" s="68">
        <f>SUM(D51:D53)</f>
        <v>12.267159999999999</v>
      </c>
      <c r="E54" s="68">
        <f>SUM(E51:E53)</f>
        <v>12.682176</v>
      </c>
      <c r="F54" s="68">
        <f>SUM(F51:F53)</f>
        <v>53.248252</v>
      </c>
      <c r="G54" s="68">
        <f>SUM(G51:G53)</f>
        <v>377.52752000000004</v>
      </c>
      <c r="H54" s="156"/>
    </row>
    <row r="55" spans="1:8" ht="15.75">
      <c r="A55" s="166" t="s">
        <v>29</v>
      </c>
      <c r="B55" s="100" t="s">
        <v>185</v>
      </c>
      <c r="C55" s="64">
        <v>100</v>
      </c>
      <c r="D55" s="68">
        <v>0.4</v>
      </c>
      <c r="E55" s="68">
        <v>0.4</v>
      </c>
      <c r="F55" s="68">
        <v>9.8</v>
      </c>
      <c r="G55" s="68">
        <v>47</v>
      </c>
      <c r="H55" s="156" t="s">
        <v>65</v>
      </c>
    </row>
    <row r="56" spans="1:8" ht="38.25">
      <c r="A56" s="282" t="s">
        <v>70</v>
      </c>
      <c r="B56" s="99" t="s">
        <v>326</v>
      </c>
      <c r="C56" s="81">
        <v>50</v>
      </c>
      <c r="D56" s="71">
        <f>0.2584*C56/30</f>
        <v>0.4306666666666667</v>
      </c>
      <c r="E56" s="71">
        <f>2.842748*C56/30</f>
        <v>4.737913333333333</v>
      </c>
      <c r="F56" s="71">
        <f>0.841568*C56/30</f>
        <v>1.4026133333333335</v>
      </c>
      <c r="G56" s="71">
        <f>29.9*C56/30</f>
        <v>49.833333333333336</v>
      </c>
      <c r="H56" s="156" t="s">
        <v>186</v>
      </c>
    </row>
    <row r="57" spans="1:8" ht="51">
      <c r="A57" s="282"/>
      <c r="B57" s="62" t="s">
        <v>259</v>
      </c>
      <c r="C57" s="160" t="s">
        <v>122</v>
      </c>
      <c r="D57" s="66">
        <v>4.5</v>
      </c>
      <c r="E57" s="66">
        <v>7.41</v>
      </c>
      <c r="F57" s="66">
        <v>7.2</v>
      </c>
      <c r="G57" s="66">
        <v>113.74</v>
      </c>
      <c r="H57" s="81" t="s">
        <v>57</v>
      </c>
    </row>
    <row r="58" spans="1:8" ht="15.75">
      <c r="A58" s="282"/>
      <c r="B58" s="62" t="s">
        <v>260</v>
      </c>
      <c r="C58" s="53">
        <v>70</v>
      </c>
      <c r="D58" s="48">
        <f>11.63344*C58/50</f>
        <v>16.286816</v>
      </c>
      <c r="E58" s="48">
        <f>11.01056*C58/50</f>
        <v>15.414784</v>
      </c>
      <c r="F58" s="48">
        <v>0</v>
      </c>
      <c r="G58" s="48">
        <f>145.6288*C58/50</f>
        <v>203.88032000000004</v>
      </c>
      <c r="H58" s="156" t="s">
        <v>187</v>
      </c>
    </row>
    <row r="59" spans="1:8" ht="25.5">
      <c r="A59" s="282"/>
      <c r="B59" s="62" t="s">
        <v>261</v>
      </c>
      <c r="C59" s="81">
        <v>130</v>
      </c>
      <c r="D59" s="71">
        <f>2.45*C59/120</f>
        <v>2.654166666666667</v>
      </c>
      <c r="E59" s="71">
        <f>3.43*C59/120</f>
        <v>3.7158333333333338</v>
      </c>
      <c r="F59" s="71">
        <f>16.05*C59/120</f>
        <v>17.3875</v>
      </c>
      <c r="G59" s="71">
        <f>95*C59/120</f>
        <v>102.91666666666667</v>
      </c>
      <c r="H59" s="156" t="s">
        <v>58</v>
      </c>
    </row>
    <row r="60" spans="1:8" ht="25.5">
      <c r="A60" s="282"/>
      <c r="B60" s="102" t="s">
        <v>262</v>
      </c>
      <c r="C60" s="69">
        <v>180</v>
      </c>
      <c r="D60" s="66">
        <f>0.41*C60/150</f>
        <v>0.492</v>
      </c>
      <c r="E60" s="66">
        <f>0.06*C60/150</f>
        <v>0.072</v>
      </c>
      <c r="F60" s="66">
        <f>17.01*C60/150</f>
        <v>20.412000000000003</v>
      </c>
      <c r="G60" s="66">
        <f>70.15*C60/150</f>
        <v>84.18</v>
      </c>
      <c r="H60" s="156" t="s">
        <v>61</v>
      </c>
    </row>
    <row r="61" spans="1:8" ht="15.75">
      <c r="A61" s="282"/>
      <c r="B61" s="99" t="s">
        <v>12</v>
      </c>
      <c r="C61" s="69">
        <v>25</v>
      </c>
      <c r="D61" s="66">
        <f>1.32*C61/20</f>
        <v>1.65</v>
      </c>
      <c r="E61" s="66">
        <f>0.22*C61/20</f>
        <v>0.275</v>
      </c>
      <c r="F61" s="66">
        <f>8.2*C61/20</f>
        <v>10.249999999999998</v>
      </c>
      <c r="G61" s="71">
        <f>40*C61/20</f>
        <v>50</v>
      </c>
      <c r="H61" s="156" t="s">
        <v>60</v>
      </c>
    </row>
    <row r="62" spans="1:8" ht="15.75">
      <c r="A62" s="282"/>
      <c r="B62" s="99" t="s">
        <v>41</v>
      </c>
      <c r="C62" s="160">
        <v>25</v>
      </c>
      <c r="D62" s="66">
        <f>2.28*C62/30</f>
        <v>1.8999999999999997</v>
      </c>
      <c r="E62" s="66">
        <f>0.24*C62/30</f>
        <v>0.2</v>
      </c>
      <c r="F62" s="66">
        <f>14.76*C62/30</f>
        <v>12.3</v>
      </c>
      <c r="G62" s="66">
        <f>70.5*C62/30</f>
        <v>58.75</v>
      </c>
      <c r="H62" s="156" t="s">
        <v>59</v>
      </c>
    </row>
    <row r="63" spans="1:8" ht="15.75">
      <c r="A63" s="289" t="s">
        <v>13</v>
      </c>
      <c r="B63" s="289"/>
      <c r="C63" s="64">
        <v>700</v>
      </c>
      <c r="D63" s="72">
        <f>D56+D57+D58+D59+D60+D61+D62</f>
        <v>27.913649333333336</v>
      </c>
      <c r="E63" s="72">
        <f>E56+E57+E58+E59+E60+E61+E62</f>
        <v>31.825530666666662</v>
      </c>
      <c r="F63" s="72">
        <f>F56+F57+F58+F59+F60+F61+F62</f>
        <v>68.95211333333333</v>
      </c>
      <c r="G63" s="72">
        <f>G56+G57+G58+G59+G60+G61+G62</f>
        <v>663.30032</v>
      </c>
      <c r="H63" s="156"/>
    </row>
    <row r="64" spans="1:8" ht="38.25">
      <c r="A64" s="281" t="s">
        <v>149</v>
      </c>
      <c r="B64" s="126" t="s">
        <v>336</v>
      </c>
      <c r="C64" s="81" t="s">
        <v>181</v>
      </c>
      <c r="D64" s="71">
        <v>19.59218</v>
      </c>
      <c r="E64" s="71">
        <v>8.916239999999998</v>
      </c>
      <c r="F64" s="71">
        <v>42.11626</v>
      </c>
      <c r="G64" s="71">
        <v>323</v>
      </c>
      <c r="H64" s="156" t="s">
        <v>161</v>
      </c>
    </row>
    <row r="65" spans="1:8" ht="15.75">
      <c r="A65" s="281"/>
      <c r="B65" s="100" t="s">
        <v>114</v>
      </c>
      <c r="C65" s="81">
        <v>180</v>
      </c>
      <c r="D65" s="71">
        <f>4.8*C65/150</f>
        <v>5.76</v>
      </c>
      <c r="E65" s="71">
        <f>3.75*C65/150</f>
        <v>4.5</v>
      </c>
      <c r="F65" s="71">
        <f>6.75*C65/150</f>
        <v>8.1</v>
      </c>
      <c r="G65" s="71">
        <f>79.5*C65/150</f>
        <v>95.4</v>
      </c>
      <c r="H65" s="156" t="s">
        <v>62</v>
      </c>
    </row>
    <row r="66" spans="1:8" ht="15.75">
      <c r="A66" s="281"/>
      <c r="B66" s="100" t="s">
        <v>188</v>
      </c>
      <c r="C66" s="47">
        <v>30</v>
      </c>
      <c r="D66" s="73">
        <f>2.52*C66/45</f>
        <v>1.68</v>
      </c>
      <c r="E66" s="73">
        <f>1.26*C66/45</f>
        <v>0.84</v>
      </c>
      <c r="F66" s="73">
        <f>35.2*C66/45</f>
        <v>23.466666666666665</v>
      </c>
      <c r="G66" s="73">
        <f>162*C66/45</f>
        <v>108</v>
      </c>
      <c r="H66" s="54" t="s">
        <v>157</v>
      </c>
    </row>
    <row r="67" spans="1:8" ht="15.75">
      <c r="A67" s="290" t="s">
        <v>150</v>
      </c>
      <c r="B67" s="290"/>
      <c r="C67" s="65">
        <v>340</v>
      </c>
      <c r="D67" s="77">
        <f>SUM(D64:D66)</f>
        <v>27.032179999999997</v>
      </c>
      <c r="E67" s="77">
        <f>SUM(E64:E66)</f>
        <v>14.256239999999998</v>
      </c>
      <c r="F67" s="77">
        <f>SUM(F64:F66)</f>
        <v>73.68292666666666</v>
      </c>
      <c r="G67" s="77">
        <f>SUM(G64:G66)</f>
        <v>526.4</v>
      </c>
      <c r="H67" s="156"/>
    </row>
    <row r="68" spans="1:8" ht="15.75">
      <c r="A68" s="168" t="s">
        <v>15</v>
      </c>
      <c r="B68" s="105"/>
      <c r="C68" s="169"/>
      <c r="D68" s="170">
        <f>D54+D55+D63+D67</f>
        <v>67.61298933333333</v>
      </c>
      <c r="E68" s="170">
        <f>E54+E55+E63+E67</f>
        <v>59.16394666666666</v>
      </c>
      <c r="F68" s="170">
        <f>F54+F55+F63+F67</f>
        <v>205.683292</v>
      </c>
      <c r="G68" s="170">
        <f>G54+G55+G63+G67</f>
        <v>1614.22784</v>
      </c>
      <c r="H68" s="171"/>
    </row>
    <row r="69" spans="1:8" ht="15.75">
      <c r="A69" s="284" t="s">
        <v>33</v>
      </c>
      <c r="B69" s="284"/>
      <c r="C69" s="284"/>
      <c r="D69" s="284"/>
      <c r="E69" s="284"/>
      <c r="F69" s="284"/>
      <c r="G69" s="284"/>
      <c r="H69" s="284"/>
    </row>
    <row r="70" spans="1:8" ht="25.5">
      <c r="A70" s="282" t="s">
        <v>9</v>
      </c>
      <c r="B70" s="62" t="s">
        <v>319</v>
      </c>
      <c r="C70" s="69">
        <v>160</v>
      </c>
      <c r="D70" s="66">
        <f>5.31476*C70/150</f>
        <v>5.669077333333333</v>
      </c>
      <c r="E70" s="66">
        <f>2.0152*C70/140</f>
        <v>2.3030857142857144</v>
      </c>
      <c r="F70" s="66">
        <f>24.51176*C70/140</f>
        <v>28.01344</v>
      </c>
      <c r="G70" s="71">
        <f>107.2*C70/140</f>
        <v>122.51428571428572</v>
      </c>
      <c r="H70" s="221" t="s">
        <v>113</v>
      </c>
    </row>
    <row r="71" spans="1:8" ht="15.75">
      <c r="A71" s="282"/>
      <c r="B71" s="99" t="s">
        <v>235</v>
      </c>
      <c r="C71" s="155" t="s">
        <v>126</v>
      </c>
      <c r="D71" s="66">
        <v>2.33</v>
      </c>
      <c r="E71" s="66">
        <v>8.12</v>
      </c>
      <c r="F71" s="66">
        <v>15.55</v>
      </c>
      <c r="G71" s="16">
        <v>144.7</v>
      </c>
      <c r="H71" s="81" t="s">
        <v>67</v>
      </c>
    </row>
    <row r="72" spans="1:8" ht="25.5">
      <c r="A72" s="282"/>
      <c r="B72" s="99" t="s">
        <v>236</v>
      </c>
      <c r="C72" s="67" t="s">
        <v>120</v>
      </c>
      <c r="D72" s="73">
        <f>1.62432*C72/150</f>
        <v>2.1657599999999997</v>
      </c>
      <c r="E72" s="73">
        <f>1.66144*C72/150</f>
        <v>2.2152533333333335</v>
      </c>
      <c r="F72" s="73">
        <f>9.03266*C72/150</f>
        <v>12.043546666666666</v>
      </c>
      <c r="G72" s="73">
        <f>57.58088*C72/150</f>
        <v>76.77450666666667</v>
      </c>
      <c r="H72" s="54" t="s">
        <v>172</v>
      </c>
    </row>
    <row r="73" spans="1:8" ht="15.75">
      <c r="A73" s="285" t="s">
        <v>10</v>
      </c>
      <c r="B73" s="285"/>
      <c r="C73" s="64">
        <v>410</v>
      </c>
      <c r="D73" s="68">
        <f>SUM(D70:D72)</f>
        <v>10.164837333333333</v>
      </c>
      <c r="E73" s="68">
        <f>SUM(E70:E72)</f>
        <v>12.638339047619047</v>
      </c>
      <c r="F73" s="68">
        <f>SUM(F70:F72)</f>
        <v>55.606986666666664</v>
      </c>
      <c r="G73" s="68">
        <f>SUM(G70:G72)</f>
        <v>343.9887923809524</v>
      </c>
      <c r="H73" s="156"/>
    </row>
    <row r="74" spans="1:8" ht="15.75">
      <c r="A74" s="166" t="s">
        <v>28</v>
      </c>
      <c r="B74" s="100" t="s">
        <v>200</v>
      </c>
      <c r="C74" s="64">
        <v>100</v>
      </c>
      <c r="D74" s="82">
        <v>1.1</v>
      </c>
      <c r="E74" s="82">
        <v>0.3</v>
      </c>
      <c r="F74" s="82">
        <v>8.9</v>
      </c>
      <c r="G74" s="82">
        <v>44</v>
      </c>
      <c r="H74" s="172" t="s">
        <v>65</v>
      </c>
    </row>
    <row r="75" spans="1:8" ht="38.25">
      <c r="A75" s="282" t="s">
        <v>11</v>
      </c>
      <c r="B75" s="101" t="s">
        <v>263</v>
      </c>
      <c r="C75" s="69">
        <v>50</v>
      </c>
      <c r="D75" s="66">
        <v>0.45</v>
      </c>
      <c r="E75" s="66">
        <v>2.89</v>
      </c>
      <c r="F75" s="66">
        <v>1.58</v>
      </c>
      <c r="G75" s="66">
        <v>34.12</v>
      </c>
      <c r="H75" s="69" t="s">
        <v>71</v>
      </c>
    </row>
    <row r="76" spans="1:8" ht="38.25">
      <c r="A76" s="282"/>
      <c r="B76" s="62" t="s">
        <v>190</v>
      </c>
      <c r="C76" s="53" t="s">
        <v>123</v>
      </c>
      <c r="D76" s="59">
        <v>4.95568</v>
      </c>
      <c r="E76" s="59">
        <v>4.33488</v>
      </c>
      <c r="F76" s="59">
        <v>15.13148</v>
      </c>
      <c r="G76" s="59">
        <v>119.3</v>
      </c>
      <c r="H76" s="54" t="s">
        <v>191</v>
      </c>
    </row>
    <row r="77" spans="1:8" ht="38.25">
      <c r="A77" s="282"/>
      <c r="B77" s="99" t="s">
        <v>240</v>
      </c>
      <c r="C77" s="81">
        <v>180</v>
      </c>
      <c r="D77" s="71">
        <f>15.67*C77/160</f>
        <v>17.62875</v>
      </c>
      <c r="E77" s="71">
        <f>14.94*C77/160</f>
        <v>16.807499999999997</v>
      </c>
      <c r="F77" s="71">
        <f>13.48*C77/160</f>
        <v>15.165000000000001</v>
      </c>
      <c r="G77" s="71">
        <f>251.05*C77/160</f>
        <v>282.43125</v>
      </c>
      <c r="H77" s="156" t="s">
        <v>118</v>
      </c>
    </row>
    <row r="78" spans="1:8" ht="25.5">
      <c r="A78" s="282"/>
      <c r="B78" s="99" t="s">
        <v>241</v>
      </c>
      <c r="C78" s="69">
        <v>180</v>
      </c>
      <c r="D78" s="66">
        <f>0.48*C78/150</f>
        <v>0.576</v>
      </c>
      <c r="E78" s="66">
        <f>0.2*C78/150</f>
        <v>0.24</v>
      </c>
      <c r="F78" s="66">
        <f>12.95*C78/150</f>
        <v>15.54</v>
      </c>
      <c r="G78" s="66">
        <f>55.52*C78/150</f>
        <v>66.62400000000001</v>
      </c>
      <c r="H78" s="156" t="s">
        <v>72</v>
      </c>
    </row>
    <row r="79" spans="1:8" ht="15.75">
      <c r="A79" s="282"/>
      <c r="B79" s="99" t="s">
        <v>12</v>
      </c>
      <c r="C79" s="69">
        <v>30</v>
      </c>
      <c r="D79" s="66">
        <f>1.32*C79/20</f>
        <v>1.98</v>
      </c>
      <c r="E79" s="66">
        <f>0.22*C79/20</f>
        <v>0.32999999999999996</v>
      </c>
      <c r="F79" s="66">
        <f>8.2*C79/20</f>
        <v>12.299999999999999</v>
      </c>
      <c r="G79" s="71">
        <f>40*C79/20</f>
        <v>60</v>
      </c>
      <c r="H79" s="156" t="s">
        <v>60</v>
      </c>
    </row>
    <row r="80" spans="1:8" ht="15.75">
      <c r="A80" s="282"/>
      <c r="B80" s="99" t="s">
        <v>41</v>
      </c>
      <c r="C80" s="160">
        <v>30</v>
      </c>
      <c r="D80" s="66">
        <f>2.28*C80/30</f>
        <v>2.28</v>
      </c>
      <c r="E80" s="66">
        <f>0.24*C80/30</f>
        <v>0.23999999999999996</v>
      </c>
      <c r="F80" s="66">
        <f>14.76*C80/30</f>
        <v>14.76</v>
      </c>
      <c r="G80" s="66">
        <f>70.5*C80/30</f>
        <v>70.5</v>
      </c>
      <c r="H80" s="156" t="s">
        <v>59</v>
      </c>
    </row>
    <row r="81" spans="1:8" ht="15.75">
      <c r="A81" s="285" t="s">
        <v>13</v>
      </c>
      <c r="B81" s="285"/>
      <c r="C81" s="64">
        <v>680</v>
      </c>
      <c r="D81" s="72">
        <f>SUM(D75:D80)</f>
        <v>27.870430000000002</v>
      </c>
      <c r="E81" s="72">
        <f>SUM(E75:E80)</f>
        <v>24.84237999999999</v>
      </c>
      <c r="F81" s="72">
        <f>SUM(F75:F80)</f>
        <v>74.47648</v>
      </c>
      <c r="G81" s="72">
        <f>SUM(G75:G80)</f>
        <v>632.97525</v>
      </c>
      <c r="H81" s="156"/>
    </row>
    <row r="82" spans="1:8" ht="15.75">
      <c r="A82" s="281" t="s">
        <v>149</v>
      </c>
      <c r="B82" s="102" t="s">
        <v>328</v>
      </c>
      <c r="C82" s="47">
        <v>60</v>
      </c>
      <c r="D82" s="73">
        <v>1.14</v>
      </c>
      <c r="E82" s="73">
        <v>5.34</v>
      </c>
      <c r="F82" s="73">
        <v>4.62</v>
      </c>
      <c r="G82" s="73">
        <v>71.4</v>
      </c>
      <c r="H82" s="156" t="s">
        <v>317</v>
      </c>
    </row>
    <row r="83" spans="1:8" ht="39">
      <c r="A83" s="281"/>
      <c r="B83" s="204" t="s">
        <v>347</v>
      </c>
      <c r="C83" s="1">
        <v>230</v>
      </c>
      <c r="D83" s="7">
        <v>17.07</v>
      </c>
      <c r="E83" s="7">
        <v>12.58</v>
      </c>
      <c r="F83" s="7">
        <v>25.44</v>
      </c>
      <c r="G83" s="7">
        <v>283.36</v>
      </c>
      <c r="H83" s="188" t="s">
        <v>346</v>
      </c>
    </row>
    <row r="84" spans="1:8" ht="15.75">
      <c r="A84" s="281"/>
      <c r="B84" s="99" t="s">
        <v>242</v>
      </c>
      <c r="C84" s="69">
        <v>180</v>
      </c>
      <c r="D84" s="66">
        <f>0.23*C84/180</f>
        <v>0.22999999999999998</v>
      </c>
      <c r="E84" s="66">
        <f>0.05*C84/180</f>
        <v>0.05</v>
      </c>
      <c r="F84" s="66">
        <f>6.98*C84/180</f>
        <v>6.98</v>
      </c>
      <c r="G84" s="71">
        <f>29.34*C84/180</f>
        <v>29.34</v>
      </c>
      <c r="H84" s="156" t="s">
        <v>64</v>
      </c>
    </row>
    <row r="85" spans="1:8" ht="15.75">
      <c r="A85" s="281"/>
      <c r="B85" s="99" t="s">
        <v>41</v>
      </c>
      <c r="C85" s="160">
        <v>30</v>
      </c>
      <c r="D85" s="66">
        <f>2.28*C85/30</f>
        <v>2.28</v>
      </c>
      <c r="E85" s="66">
        <f>0.24*C85/30</f>
        <v>0.23999999999999996</v>
      </c>
      <c r="F85" s="66">
        <f>14.76*C85/30</f>
        <v>14.76</v>
      </c>
      <c r="G85" s="66">
        <f>70.5*C85/30</f>
        <v>70.5</v>
      </c>
      <c r="H85" s="156" t="s">
        <v>59</v>
      </c>
    </row>
    <row r="86" spans="1:8" ht="15.75">
      <c r="A86" s="281"/>
      <c r="B86" s="99" t="s">
        <v>12</v>
      </c>
      <c r="C86" s="69">
        <v>30</v>
      </c>
      <c r="D86" s="66">
        <f>1.32*C86/20</f>
        <v>1.98</v>
      </c>
      <c r="E86" s="66">
        <f>0.22*C86/20</f>
        <v>0.32999999999999996</v>
      </c>
      <c r="F86" s="66">
        <f>8.2*C86/20</f>
        <v>12.299999999999999</v>
      </c>
      <c r="G86" s="71">
        <f>40*C86/20</f>
        <v>60</v>
      </c>
      <c r="H86" s="156" t="s">
        <v>60</v>
      </c>
    </row>
    <row r="87" spans="1:8" ht="15.75">
      <c r="A87" s="290" t="s">
        <v>150</v>
      </c>
      <c r="B87" s="290"/>
      <c r="C87" s="64">
        <f>SUM(C82:C86)</f>
        <v>530</v>
      </c>
      <c r="D87" s="72">
        <f>SUM(D82:D86)</f>
        <v>22.700000000000003</v>
      </c>
      <c r="E87" s="72">
        <f>SUM(E82:E86)</f>
        <v>18.54</v>
      </c>
      <c r="F87" s="72">
        <f>SUM(F82:F86)</f>
        <v>64.10000000000001</v>
      </c>
      <c r="G87" s="72">
        <f>SUM(G82:G86)</f>
        <v>514.5999999999999</v>
      </c>
      <c r="H87" s="156"/>
    </row>
    <row r="88" spans="1:8" ht="15.75">
      <c r="A88" s="291" t="s">
        <v>16</v>
      </c>
      <c r="B88" s="291"/>
      <c r="C88" s="173"/>
      <c r="D88" s="80">
        <f>D73+D74+D81+D87</f>
        <v>61.835267333333334</v>
      </c>
      <c r="E88" s="80">
        <f>E73+E74+E81+E87</f>
        <v>56.320719047619036</v>
      </c>
      <c r="F88" s="80">
        <f>F73+F74+F81+F87</f>
        <v>203.08346666666665</v>
      </c>
      <c r="G88" s="80">
        <f>G73+G74+G81+G87</f>
        <v>1535.5640423809523</v>
      </c>
      <c r="H88" s="174"/>
    </row>
    <row r="89" spans="1:8" ht="15.75">
      <c r="A89" s="284" t="s">
        <v>34</v>
      </c>
      <c r="B89" s="284"/>
      <c r="C89" s="284"/>
      <c r="D89" s="284"/>
      <c r="E89" s="284"/>
      <c r="F89" s="284"/>
      <c r="G89" s="284"/>
      <c r="H89" s="284"/>
    </row>
    <row r="90" spans="1:8" ht="25.5">
      <c r="A90" s="282" t="s">
        <v>9</v>
      </c>
      <c r="B90" s="62" t="s">
        <v>264</v>
      </c>
      <c r="C90" s="69">
        <v>160</v>
      </c>
      <c r="D90" s="66">
        <f>4.8645*C90/150</f>
        <v>5.1888</v>
      </c>
      <c r="E90" s="66">
        <f>2.4552*C90/150</f>
        <v>2.61888</v>
      </c>
      <c r="F90" s="66">
        <f>23.78649*C90/150</f>
        <v>25.372256</v>
      </c>
      <c r="G90" s="71">
        <f>109.3*C90/140</f>
        <v>124.91428571428571</v>
      </c>
      <c r="H90" s="159" t="s">
        <v>115</v>
      </c>
    </row>
    <row r="91" spans="1:8" ht="15.75">
      <c r="A91" s="282"/>
      <c r="B91" s="99" t="s">
        <v>235</v>
      </c>
      <c r="C91" s="155" t="s">
        <v>126</v>
      </c>
      <c r="D91" s="66">
        <v>2.33</v>
      </c>
      <c r="E91" s="66">
        <v>8.12</v>
      </c>
      <c r="F91" s="66">
        <v>15.55</v>
      </c>
      <c r="G91" s="16">
        <v>144.7</v>
      </c>
      <c r="H91" s="81" t="s">
        <v>67</v>
      </c>
    </row>
    <row r="92" spans="1:8" ht="25.5">
      <c r="A92" s="282"/>
      <c r="B92" s="62" t="s">
        <v>252</v>
      </c>
      <c r="C92" s="69">
        <v>200</v>
      </c>
      <c r="D92" s="71">
        <f>2.46*C92/180</f>
        <v>2.7333333333333334</v>
      </c>
      <c r="E92" s="71">
        <f>1.86*C92/180</f>
        <v>2.066666666666667</v>
      </c>
      <c r="F92" s="71">
        <f>11.94*C92/180</f>
        <v>13.266666666666667</v>
      </c>
      <c r="G92" s="71">
        <f>64*C92/180</f>
        <v>71.11111111111111</v>
      </c>
      <c r="H92" s="159" t="s">
        <v>81</v>
      </c>
    </row>
    <row r="93" spans="1:8" ht="15.75">
      <c r="A93" s="285" t="s">
        <v>10</v>
      </c>
      <c r="B93" s="285"/>
      <c r="C93" s="157" t="s">
        <v>224</v>
      </c>
      <c r="D93" s="68">
        <f>SUM(D90:D92)</f>
        <v>10.252133333333333</v>
      </c>
      <c r="E93" s="68">
        <f>SUM(E90:E92)</f>
        <v>12.805546666666665</v>
      </c>
      <c r="F93" s="68">
        <f>SUM(F90:F92)</f>
        <v>54.18892266666667</v>
      </c>
      <c r="G93" s="68">
        <f>SUM(G90:G92)</f>
        <v>340.72539682539684</v>
      </c>
      <c r="H93" s="156"/>
    </row>
    <row r="94" spans="1:8" ht="15.75">
      <c r="A94" s="65" t="s">
        <v>38</v>
      </c>
      <c r="B94" s="62" t="s">
        <v>193</v>
      </c>
      <c r="C94" s="83">
        <v>180</v>
      </c>
      <c r="D94" s="231">
        <f>4.05*C94/150</f>
        <v>4.86</v>
      </c>
      <c r="E94" s="231">
        <f>4.5*C94/150</f>
        <v>5.4</v>
      </c>
      <c r="F94" s="231">
        <f>6.6*C94/150</f>
        <v>7.92</v>
      </c>
      <c r="G94" s="231">
        <f>81*C94/150</f>
        <v>97.2</v>
      </c>
      <c r="H94" s="156" t="s">
        <v>62</v>
      </c>
    </row>
    <row r="95" spans="1:8" ht="15.75">
      <c r="A95" s="282" t="s">
        <v>11</v>
      </c>
      <c r="B95" s="62" t="s">
        <v>163</v>
      </c>
      <c r="C95" s="53">
        <v>50</v>
      </c>
      <c r="D95" s="232">
        <f>0.4*C95/50</f>
        <v>0.4</v>
      </c>
      <c r="E95" s="232">
        <f>0.05*C95/50</f>
        <v>0.05</v>
      </c>
      <c r="F95" s="232">
        <f>0.85*C95/50</f>
        <v>0.85</v>
      </c>
      <c r="G95" s="233">
        <f>6.5*C95/50</f>
        <v>6.5</v>
      </c>
      <c r="H95" s="54" t="s">
        <v>164</v>
      </c>
    </row>
    <row r="96" spans="1:8" ht="51">
      <c r="A96" s="282"/>
      <c r="B96" s="62" t="s">
        <v>265</v>
      </c>
      <c r="C96" s="69" t="s">
        <v>122</v>
      </c>
      <c r="D96" s="75">
        <v>4.55</v>
      </c>
      <c r="E96" s="75">
        <v>7.21</v>
      </c>
      <c r="F96" s="75">
        <v>10.33</v>
      </c>
      <c r="G96" s="75">
        <v>124.44</v>
      </c>
      <c r="H96" s="81" t="s">
        <v>125</v>
      </c>
    </row>
    <row r="97" spans="1:8" ht="26.25">
      <c r="A97" s="282"/>
      <c r="B97" s="106" t="s">
        <v>194</v>
      </c>
      <c r="C97" s="47">
        <v>70</v>
      </c>
      <c r="D97" s="73">
        <f>7.63844*C97/50</f>
        <v>10.693816</v>
      </c>
      <c r="E97" s="73">
        <f>7.97192*C97/50</f>
        <v>11.160688</v>
      </c>
      <c r="F97" s="73">
        <f>7.10073*C97/50</f>
        <v>9.941022</v>
      </c>
      <c r="G97" s="73">
        <f>130.70396*C97/50</f>
        <v>182.985544</v>
      </c>
      <c r="H97" s="54" t="s">
        <v>195</v>
      </c>
    </row>
    <row r="98" spans="1:8" ht="25.5">
      <c r="A98" s="282"/>
      <c r="B98" s="62" t="s">
        <v>266</v>
      </c>
      <c r="C98" s="160">
        <v>130</v>
      </c>
      <c r="D98" s="16">
        <v>4.73</v>
      </c>
      <c r="E98" s="16">
        <v>2.75</v>
      </c>
      <c r="F98" s="16">
        <v>29.23</v>
      </c>
      <c r="G98" s="75">
        <v>160.63</v>
      </c>
      <c r="H98" s="81" t="s">
        <v>76</v>
      </c>
    </row>
    <row r="99" spans="1:8" ht="25.5">
      <c r="A99" s="282"/>
      <c r="B99" s="62" t="s">
        <v>221</v>
      </c>
      <c r="C99" s="53">
        <v>180</v>
      </c>
      <c r="D99" s="59">
        <f>0.171*C99/150</f>
        <v>0.20520000000000002</v>
      </c>
      <c r="E99" s="59">
        <f>0.0705*C99/150</f>
        <v>0.0846</v>
      </c>
      <c r="F99" s="59">
        <f>14.8603*C99/150</f>
        <v>17.83236</v>
      </c>
      <c r="G99" s="59">
        <f>60.7*C99/150</f>
        <v>72.84</v>
      </c>
      <c r="H99" s="156" t="s">
        <v>306</v>
      </c>
    </row>
    <row r="100" spans="1:8" ht="15.75">
      <c r="A100" s="282"/>
      <c r="B100" s="99" t="s">
        <v>12</v>
      </c>
      <c r="C100" s="69">
        <v>25</v>
      </c>
      <c r="D100" s="66">
        <f>1.32*C100/20</f>
        <v>1.65</v>
      </c>
      <c r="E100" s="66">
        <f>0.22*C100/20</f>
        <v>0.275</v>
      </c>
      <c r="F100" s="66">
        <f>8.2*C100/20</f>
        <v>10.249999999999998</v>
      </c>
      <c r="G100" s="71">
        <f>40*C100/20</f>
        <v>50</v>
      </c>
      <c r="H100" s="156" t="s">
        <v>60</v>
      </c>
    </row>
    <row r="101" spans="1:8" ht="15.75">
      <c r="A101" s="282"/>
      <c r="B101" s="99" t="s">
        <v>41</v>
      </c>
      <c r="C101" s="160">
        <v>25</v>
      </c>
      <c r="D101" s="66">
        <f>2.28*C101/30</f>
        <v>1.8999999999999997</v>
      </c>
      <c r="E101" s="66">
        <f>0.24*C101/30</f>
        <v>0.2</v>
      </c>
      <c r="F101" s="66">
        <f>14.76*C101/30</f>
        <v>12.3</v>
      </c>
      <c r="G101" s="66">
        <f>70.5*C101/30</f>
        <v>58.75</v>
      </c>
      <c r="H101" s="156" t="s">
        <v>59</v>
      </c>
    </row>
    <row r="102" spans="1:8" ht="15.75">
      <c r="A102" s="289" t="s">
        <v>19</v>
      </c>
      <c r="B102" s="289"/>
      <c r="C102" s="64">
        <v>700</v>
      </c>
      <c r="D102" s="72">
        <f>SUM(D95:D101)</f>
        <v>24.129016</v>
      </c>
      <c r="E102" s="72">
        <f>SUM(E95:E101)</f>
        <v>21.730287999999994</v>
      </c>
      <c r="F102" s="72">
        <f>SUM(F95:F101)</f>
        <v>90.73338199999999</v>
      </c>
      <c r="G102" s="72">
        <f>SUM(G95:G101)</f>
        <v>656.145544</v>
      </c>
      <c r="H102" s="156"/>
    </row>
    <row r="103" spans="1:8" ht="51">
      <c r="A103" s="281" t="s">
        <v>149</v>
      </c>
      <c r="B103" s="126" t="s">
        <v>337</v>
      </c>
      <c r="C103" s="165" t="s">
        <v>159</v>
      </c>
      <c r="D103" s="16">
        <v>23.903654399999997</v>
      </c>
      <c r="E103" s="16">
        <v>8.409667199999998</v>
      </c>
      <c r="F103" s="16">
        <v>37.4664576</v>
      </c>
      <c r="G103" s="71">
        <v>317.6</v>
      </c>
      <c r="H103" s="223" t="s">
        <v>162</v>
      </c>
    </row>
    <row r="104" spans="1:8" ht="38.25">
      <c r="A104" s="281"/>
      <c r="B104" s="102" t="s">
        <v>196</v>
      </c>
      <c r="C104" s="47">
        <v>50</v>
      </c>
      <c r="D104" s="73">
        <v>4.57498</v>
      </c>
      <c r="E104" s="73">
        <v>4.5684320000000005</v>
      </c>
      <c r="F104" s="73">
        <v>26.6903</v>
      </c>
      <c r="G104" s="73">
        <v>154.177008</v>
      </c>
      <c r="H104" s="54" t="s">
        <v>197</v>
      </c>
    </row>
    <row r="105" spans="1:8" ht="15.75">
      <c r="A105" s="281"/>
      <c r="B105" s="107" t="s">
        <v>243</v>
      </c>
      <c r="C105" s="53">
        <v>180</v>
      </c>
      <c r="D105" s="59">
        <f>0.09*C105/150</f>
        <v>0.108</v>
      </c>
      <c r="E105" s="59">
        <v>0</v>
      </c>
      <c r="F105" s="59">
        <f>12.27*C105/150</f>
        <v>14.724</v>
      </c>
      <c r="G105" s="59">
        <f>49.47*C105/150</f>
        <v>59.364000000000004</v>
      </c>
      <c r="H105" s="47" t="s">
        <v>198</v>
      </c>
    </row>
    <row r="106" spans="1:8" ht="15.75">
      <c r="A106" s="283" t="s">
        <v>150</v>
      </c>
      <c r="B106" s="283"/>
      <c r="C106" s="76" t="s">
        <v>155</v>
      </c>
      <c r="D106" s="77">
        <f>SUM(D103:D105)</f>
        <v>28.586634399999998</v>
      </c>
      <c r="E106" s="77">
        <f>SUM(E103:E105)</f>
        <v>12.978099199999999</v>
      </c>
      <c r="F106" s="77">
        <f>SUM(F103:F105)</f>
        <v>78.8807576</v>
      </c>
      <c r="G106" s="77">
        <f>SUM(G103:G105)</f>
        <v>531.141008</v>
      </c>
      <c r="H106" s="159"/>
    </row>
    <row r="107" spans="1:8" ht="15.75">
      <c r="A107" s="175" t="s">
        <v>17</v>
      </c>
      <c r="B107" s="108"/>
      <c r="C107" s="79"/>
      <c r="D107" s="80">
        <f>D93+D94+D102+D106</f>
        <v>67.82778373333333</v>
      </c>
      <c r="E107" s="80">
        <f>E93+E94+E102+E106</f>
        <v>52.91393386666665</v>
      </c>
      <c r="F107" s="80">
        <f>F93+F94+F102+F106</f>
        <v>231.72306226666666</v>
      </c>
      <c r="G107" s="80">
        <f>G93+G94+G102+G106</f>
        <v>1625.2119488253968</v>
      </c>
      <c r="H107" s="167"/>
    </row>
    <row r="108" spans="1:8" ht="15.75">
      <c r="A108" s="292" t="s">
        <v>220</v>
      </c>
      <c r="B108" s="292"/>
      <c r="C108" s="292"/>
      <c r="D108" s="176">
        <f>(D107+D88+D68+D49+D30)/5</f>
        <v>62.28394138300033</v>
      </c>
      <c r="E108" s="176">
        <f>(E107+E88+E68+E49+E30)/5</f>
        <v>56.83012253189331</v>
      </c>
      <c r="F108" s="176">
        <f>(F107+F88+F68+F49+F30)/5</f>
        <v>221.892378449508</v>
      </c>
      <c r="G108" s="176">
        <f>(G107+G88+G68+G49+G30)/5</f>
        <v>1603.72438911696</v>
      </c>
      <c r="H108" s="177"/>
    </row>
    <row r="109" spans="1:8" ht="15.75">
      <c r="A109" s="290" t="s">
        <v>27</v>
      </c>
      <c r="B109" s="290"/>
      <c r="C109" s="290"/>
      <c r="D109" s="290"/>
      <c r="E109" s="290"/>
      <c r="F109" s="290"/>
      <c r="G109" s="290"/>
      <c r="H109" s="290"/>
    </row>
    <row r="110" spans="1:8" ht="15.75">
      <c r="A110" s="284" t="s">
        <v>18</v>
      </c>
      <c r="B110" s="284"/>
      <c r="C110" s="284"/>
      <c r="D110" s="284"/>
      <c r="E110" s="284"/>
      <c r="F110" s="284"/>
      <c r="G110" s="284"/>
      <c r="H110" s="284"/>
    </row>
    <row r="111" spans="1:8" ht="25.5">
      <c r="A111" s="282" t="s">
        <v>9</v>
      </c>
      <c r="B111" s="62" t="s">
        <v>320</v>
      </c>
      <c r="C111" s="81">
        <v>160</v>
      </c>
      <c r="D111" s="71">
        <f>3.720426*C111/130</f>
        <v>4.578985846153846</v>
      </c>
      <c r="E111" s="71">
        <f>2.028048*C111/130</f>
        <v>2.496059076923077</v>
      </c>
      <c r="F111" s="71">
        <f>17.960488*C111/130</f>
        <v>22.105216000000002</v>
      </c>
      <c r="G111" s="71">
        <f>111.9*C111/140</f>
        <v>127.88571428571429</v>
      </c>
      <c r="H111" s="159" t="s">
        <v>73</v>
      </c>
    </row>
    <row r="112" spans="1:8" ht="15.75">
      <c r="A112" s="282"/>
      <c r="B112" s="99" t="s">
        <v>235</v>
      </c>
      <c r="C112" s="155" t="s">
        <v>126</v>
      </c>
      <c r="D112" s="66">
        <v>2.33</v>
      </c>
      <c r="E112" s="66">
        <v>8.12</v>
      </c>
      <c r="F112" s="66">
        <v>15.55</v>
      </c>
      <c r="G112" s="16">
        <v>144.7</v>
      </c>
      <c r="H112" s="81" t="s">
        <v>67</v>
      </c>
    </row>
    <row r="113" spans="1:8" ht="25.5">
      <c r="A113" s="282"/>
      <c r="B113" s="62" t="s">
        <v>252</v>
      </c>
      <c r="C113" s="69">
        <v>200</v>
      </c>
      <c r="D113" s="71">
        <f>2.46*C113/180</f>
        <v>2.7333333333333334</v>
      </c>
      <c r="E113" s="71">
        <f>1.86*C113/180</f>
        <v>2.066666666666667</v>
      </c>
      <c r="F113" s="71">
        <f>11.94*C113/180</f>
        <v>13.266666666666667</v>
      </c>
      <c r="G113" s="71">
        <f>64*C113/180</f>
        <v>71.11111111111111</v>
      </c>
      <c r="H113" s="159" t="s">
        <v>81</v>
      </c>
    </row>
    <row r="114" spans="1:8" ht="15.75">
      <c r="A114" s="290" t="s">
        <v>10</v>
      </c>
      <c r="B114" s="290"/>
      <c r="C114" s="64">
        <v>410</v>
      </c>
      <c r="D114" s="72">
        <f>SUM(D111:D113)</f>
        <v>9.64231917948718</v>
      </c>
      <c r="E114" s="72">
        <f>SUM(E111:E113)</f>
        <v>12.682725743589742</v>
      </c>
      <c r="F114" s="72">
        <f>SUM(F111:F113)</f>
        <v>50.92188266666667</v>
      </c>
      <c r="G114" s="72">
        <f>SUM(G111:G113)</f>
        <v>343.6968253968254</v>
      </c>
      <c r="H114" s="156"/>
    </row>
    <row r="115" spans="1:8" ht="15.75">
      <c r="A115" s="166" t="s">
        <v>29</v>
      </c>
      <c r="B115" s="100" t="s">
        <v>42</v>
      </c>
      <c r="C115" s="64">
        <v>180</v>
      </c>
      <c r="D115" s="82">
        <f>0.75*C115/150</f>
        <v>0.9</v>
      </c>
      <c r="E115" s="82">
        <f>0.15*C115/150</f>
        <v>0.18</v>
      </c>
      <c r="F115" s="82">
        <f>15.15*C115/150</f>
        <v>18.18</v>
      </c>
      <c r="G115" s="82">
        <f>69*C115/150</f>
        <v>82.8</v>
      </c>
      <c r="H115" s="156" t="s">
        <v>55</v>
      </c>
    </row>
    <row r="116" spans="1:8" ht="25.5">
      <c r="A116" s="282" t="s">
        <v>11</v>
      </c>
      <c r="B116" s="126" t="s">
        <v>329</v>
      </c>
      <c r="C116" s="53">
        <v>50</v>
      </c>
      <c r="D116" s="232">
        <f>0.246525*C116/30</f>
        <v>0.410875</v>
      </c>
      <c r="E116" s="232">
        <f>1.473168*C116/30</f>
        <v>2.45528</v>
      </c>
      <c r="F116" s="232">
        <f>2.175537*C116/30</f>
        <v>3.625895</v>
      </c>
      <c r="G116" s="233">
        <f>22.94676*C116/30</f>
        <v>38.2446</v>
      </c>
      <c r="H116" s="54" t="s">
        <v>201</v>
      </c>
    </row>
    <row r="117" spans="1:8" ht="38.25">
      <c r="A117" s="282"/>
      <c r="B117" s="62" t="s">
        <v>267</v>
      </c>
      <c r="C117" s="47" t="s">
        <v>123</v>
      </c>
      <c r="D117" s="73">
        <v>3.770688</v>
      </c>
      <c r="E117" s="73">
        <v>6.126298666666667</v>
      </c>
      <c r="F117" s="73">
        <v>8.242173333333334</v>
      </c>
      <c r="G117" s="73">
        <v>103.2</v>
      </c>
      <c r="H117" s="54" t="s">
        <v>212</v>
      </c>
    </row>
    <row r="118" spans="1:8" ht="26.25">
      <c r="A118" s="282"/>
      <c r="B118" s="106" t="s">
        <v>202</v>
      </c>
      <c r="C118" s="47">
        <v>70</v>
      </c>
      <c r="D118" s="73">
        <f>7.63844*C118/50</f>
        <v>10.693816</v>
      </c>
      <c r="E118" s="73">
        <f>7.97192*C118/50</f>
        <v>11.160688</v>
      </c>
      <c r="F118" s="73">
        <f>7.10073*C118/50</f>
        <v>9.941022</v>
      </c>
      <c r="G118" s="73">
        <f>130.70396*C118/50</f>
        <v>182.985544</v>
      </c>
      <c r="H118" s="54" t="s">
        <v>195</v>
      </c>
    </row>
    <row r="119" spans="1:8" ht="25.5">
      <c r="A119" s="282"/>
      <c r="B119" s="62" t="s">
        <v>261</v>
      </c>
      <c r="C119" s="81">
        <v>130</v>
      </c>
      <c r="D119" s="71">
        <f>2.45*C119/120</f>
        <v>2.654166666666667</v>
      </c>
      <c r="E119" s="71">
        <f>3.43*C119/120</f>
        <v>3.7158333333333338</v>
      </c>
      <c r="F119" s="71">
        <f>16.05*C119/120</f>
        <v>17.3875</v>
      </c>
      <c r="G119" s="71">
        <v>95</v>
      </c>
      <c r="H119" s="156" t="s">
        <v>58</v>
      </c>
    </row>
    <row r="120" spans="1:8" ht="15.75">
      <c r="A120" s="282"/>
      <c r="B120" s="99" t="s">
        <v>50</v>
      </c>
      <c r="C120" s="160">
        <v>180</v>
      </c>
      <c r="D120" s="66">
        <f>0.74*C120/150</f>
        <v>0.8879999999999999</v>
      </c>
      <c r="E120" s="66">
        <f>0.04*C120/150</f>
        <v>0.048</v>
      </c>
      <c r="F120" s="66">
        <f>14.23*C120/150</f>
        <v>17.076</v>
      </c>
      <c r="G120" s="66">
        <f>60.25*C120/150</f>
        <v>72.3</v>
      </c>
      <c r="H120" s="156" t="s">
        <v>61</v>
      </c>
    </row>
    <row r="121" spans="1:8" ht="15.75">
      <c r="A121" s="282"/>
      <c r="B121" s="99" t="s">
        <v>12</v>
      </c>
      <c r="C121" s="69">
        <v>30</v>
      </c>
      <c r="D121" s="66">
        <f>1.32*C121/20</f>
        <v>1.98</v>
      </c>
      <c r="E121" s="66">
        <f>0.22*C121/20</f>
        <v>0.32999999999999996</v>
      </c>
      <c r="F121" s="66">
        <f>8.2*C121/20</f>
        <v>12.299999999999999</v>
      </c>
      <c r="G121" s="71">
        <f>40*C121/20</f>
        <v>60</v>
      </c>
      <c r="H121" s="156" t="s">
        <v>60</v>
      </c>
    </row>
    <row r="122" spans="1:8" ht="15.75">
      <c r="A122" s="282"/>
      <c r="B122" s="99" t="s">
        <v>41</v>
      </c>
      <c r="C122" s="160">
        <v>30</v>
      </c>
      <c r="D122" s="66">
        <f>2.28*C122/30</f>
        <v>2.28</v>
      </c>
      <c r="E122" s="66">
        <f>0.24*C122/30</f>
        <v>0.23999999999999996</v>
      </c>
      <c r="F122" s="66">
        <f>14.76*C122/30</f>
        <v>14.76</v>
      </c>
      <c r="G122" s="66">
        <f>70.5*C122/30</f>
        <v>70.5</v>
      </c>
      <c r="H122" s="156" t="s">
        <v>59</v>
      </c>
    </row>
    <row r="123" spans="1:8" ht="15.75">
      <c r="A123" s="290" t="s">
        <v>13</v>
      </c>
      <c r="B123" s="290"/>
      <c r="C123" s="65">
        <v>700</v>
      </c>
      <c r="D123" s="77">
        <f>SUM(D116:D122)</f>
        <v>22.677545666666663</v>
      </c>
      <c r="E123" s="77">
        <f>SUM(E116:E122)</f>
        <v>24.076099999999993</v>
      </c>
      <c r="F123" s="77">
        <f>SUM(F116:F122)</f>
        <v>83.33259033333334</v>
      </c>
      <c r="G123" s="77">
        <f>SUM(G116:G122)</f>
        <v>622.2301440000001</v>
      </c>
      <c r="H123" s="156"/>
    </row>
    <row r="124" spans="1:8" ht="15.75">
      <c r="A124" s="281" t="s">
        <v>149</v>
      </c>
      <c r="B124" s="178" t="s">
        <v>203</v>
      </c>
      <c r="C124" s="81">
        <v>50</v>
      </c>
      <c r="D124" s="71">
        <f>0.48*C124/30</f>
        <v>0.8</v>
      </c>
      <c r="E124" s="71">
        <f>0.12*C124/30</f>
        <v>0.2</v>
      </c>
      <c r="F124" s="71">
        <f>4.29*C124/30</f>
        <v>7.15</v>
      </c>
      <c r="G124" s="71">
        <f>20.7*C124/30</f>
        <v>34.5</v>
      </c>
      <c r="H124" s="156" t="s">
        <v>316</v>
      </c>
    </row>
    <row r="125" spans="1:8" ht="25.5">
      <c r="A125" s="281"/>
      <c r="B125" s="62" t="s">
        <v>268</v>
      </c>
      <c r="C125" s="81">
        <v>180</v>
      </c>
      <c r="D125" s="71">
        <f>14.84119*C125/130</f>
        <v>20.549339999999997</v>
      </c>
      <c r="E125" s="71">
        <f>19.2335*C125/130</f>
        <v>26.630999999999997</v>
      </c>
      <c r="F125" s="71">
        <f>2.04461833333333*C125/130</f>
        <v>2.8310099999999956</v>
      </c>
      <c r="G125" s="71">
        <f>240.6*C125/130</f>
        <v>333.1384615384615</v>
      </c>
      <c r="H125" s="218" t="s">
        <v>341</v>
      </c>
    </row>
    <row r="126" spans="1:8" ht="15.75">
      <c r="A126" s="281"/>
      <c r="B126" s="99" t="s">
        <v>242</v>
      </c>
      <c r="C126" s="69">
        <v>200</v>
      </c>
      <c r="D126" s="66">
        <f>0.23*C126/180</f>
        <v>0.25555555555555554</v>
      </c>
      <c r="E126" s="66">
        <f>0.05*C126/180</f>
        <v>0.05555555555555555</v>
      </c>
      <c r="F126" s="66">
        <f>6.98*C126/180</f>
        <v>7.7555555555555555</v>
      </c>
      <c r="G126" s="71">
        <f>29.34*C126/180</f>
        <v>32.6</v>
      </c>
      <c r="H126" s="156" t="s">
        <v>64</v>
      </c>
    </row>
    <row r="127" spans="1:8" ht="15.75">
      <c r="A127" s="281"/>
      <c r="B127" s="99" t="s">
        <v>12</v>
      </c>
      <c r="C127" s="69">
        <v>30</v>
      </c>
      <c r="D127" s="66">
        <f>1.32*C127/20</f>
        <v>1.98</v>
      </c>
      <c r="E127" s="66">
        <f>0.22*C127/20</f>
        <v>0.32999999999999996</v>
      </c>
      <c r="F127" s="66">
        <f>8.2*C127/20</f>
        <v>12.299999999999999</v>
      </c>
      <c r="G127" s="71">
        <f>40*C127/20</f>
        <v>60</v>
      </c>
      <c r="H127" s="156" t="s">
        <v>60</v>
      </c>
    </row>
    <row r="128" spans="1:8" ht="15.75">
      <c r="A128" s="281"/>
      <c r="B128" s="109" t="s">
        <v>156</v>
      </c>
      <c r="C128" s="53">
        <v>11</v>
      </c>
      <c r="D128" s="59">
        <v>0.8</v>
      </c>
      <c r="E128" s="59">
        <v>2.1</v>
      </c>
      <c r="F128" s="59">
        <v>7.5</v>
      </c>
      <c r="G128" s="59">
        <v>52</v>
      </c>
      <c r="H128" s="60" t="s">
        <v>157</v>
      </c>
    </row>
    <row r="129" spans="1:8" ht="15.75">
      <c r="A129" s="290" t="s">
        <v>150</v>
      </c>
      <c r="B129" s="290"/>
      <c r="C129" s="65">
        <v>471</v>
      </c>
      <c r="D129" s="77">
        <f>SUM(D124:D128)</f>
        <v>24.384895555555556</v>
      </c>
      <c r="E129" s="77">
        <f>SUM(E124:E128)</f>
        <v>29.316555555555553</v>
      </c>
      <c r="F129" s="77">
        <f>SUM(F124:F128)</f>
        <v>37.53656555555555</v>
      </c>
      <c r="G129" s="77">
        <f>SUM(G124:G128)</f>
        <v>512.2384615384615</v>
      </c>
      <c r="H129" s="156"/>
    </row>
    <row r="130" spans="1:8" ht="15.75">
      <c r="A130" s="179" t="s">
        <v>39</v>
      </c>
      <c r="B130" s="110"/>
      <c r="C130" s="180"/>
      <c r="D130" s="181">
        <f>D114+D115+D123+D129</f>
        <v>57.6047604017094</v>
      </c>
      <c r="E130" s="181">
        <f>E114+E115+E123+E129</f>
        <v>66.25538129914528</v>
      </c>
      <c r="F130" s="181">
        <f>F114+F115+F123+F129</f>
        <v>189.97103855555557</v>
      </c>
      <c r="G130" s="181">
        <f>G114+G115+G123+G129</f>
        <v>1560.965430935287</v>
      </c>
      <c r="H130" s="182"/>
    </row>
    <row r="131" spans="1:8" ht="15.75">
      <c r="A131" s="284" t="s">
        <v>21</v>
      </c>
      <c r="B131" s="284"/>
      <c r="C131" s="284"/>
      <c r="D131" s="284"/>
      <c r="E131" s="284"/>
      <c r="F131" s="284"/>
      <c r="G131" s="284"/>
      <c r="H131" s="284"/>
    </row>
    <row r="132" spans="1:8" ht="38.25">
      <c r="A132" s="282" t="s">
        <v>9</v>
      </c>
      <c r="B132" s="62" t="s">
        <v>321</v>
      </c>
      <c r="C132" s="85" t="s">
        <v>121</v>
      </c>
      <c r="D132" s="59">
        <v>5.05109</v>
      </c>
      <c r="E132" s="59">
        <v>3.0734</v>
      </c>
      <c r="F132" s="59">
        <v>27.133106</v>
      </c>
      <c r="G132" s="59" t="s">
        <v>228</v>
      </c>
      <c r="H132" s="164" t="s">
        <v>204</v>
      </c>
    </row>
    <row r="133" spans="1:8" ht="15.75">
      <c r="A133" s="282"/>
      <c r="B133" s="99" t="s">
        <v>235</v>
      </c>
      <c r="C133" s="155" t="s">
        <v>126</v>
      </c>
      <c r="D133" s="66">
        <v>2.33</v>
      </c>
      <c r="E133" s="66">
        <v>8.12</v>
      </c>
      <c r="F133" s="66">
        <v>15.55</v>
      </c>
      <c r="G133" s="16">
        <v>144.7</v>
      </c>
      <c r="H133" s="81" t="s">
        <v>67</v>
      </c>
    </row>
    <row r="134" spans="1:8" ht="15.75">
      <c r="A134" s="282"/>
      <c r="B134" s="62" t="s">
        <v>258</v>
      </c>
      <c r="C134" s="53">
        <v>200</v>
      </c>
      <c r="D134" s="73">
        <f>1.551*C134/200</f>
        <v>1.551</v>
      </c>
      <c r="E134" s="73">
        <f>1.58488*C134/200</f>
        <v>1.58488</v>
      </c>
      <c r="F134" s="73">
        <f>2.1749*C134/200</f>
        <v>2.1749</v>
      </c>
      <c r="G134" s="73">
        <f>29.16752*C134/200</f>
        <v>29.16752</v>
      </c>
      <c r="H134" s="54" t="s">
        <v>183</v>
      </c>
    </row>
    <row r="135" spans="1:8" ht="15.75">
      <c r="A135" s="290" t="s">
        <v>10</v>
      </c>
      <c r="B135" s="290"/>
      <c r="C135" s="65">
        <v>415</v>
      </c>
      <c r="D135" s="77">
        <f>D132+D133+D134</f>
        <v>8.93209</v>
      </c>
      <c r="E135" s="77">
        <f>E132+E133+E134</f>
        <v>12.778279999999999</v>
      </c>
      <c r="F135" s="77">
        <f>F132+F133+F134</f>
        <v>44.858006</v>
      </c>
      <c r="G135" s="77">
        <f>G132+G133+G134</f>
        <v>354.86752</v>
      </c>
      <c r="H135" s="156"/>
    </row>
    <row r="136" spans="1:8" ht="15.75">
      <c r="A136" s="65" t="s">
        <v>29</v>
      </c>
      <c r="B136" s="100" t="s">
        <v>42</v>
      </c>
      <c r="C136" s="64">
        <v>180</v>
      </c>
      <c r="D136" s="82">
        <f>0.75*C136/150</f>
        <v>0.9</v>
      </c>
      <c r="E136" s="82">
        <f>0.15*C136/150</f>
        <v>0.18</v>
      </c>
      <c r="F136" s="82">
        <f>15.15*C136/150</f>
        <v>18.18</v>
      </c>
      <c r="G136" s="82">
        <f>69*C136/150</f>
        <v>82.8</v>
      </c>
      <c r="H136" s="156" t="s">
        <v>55</v>
      </c>
    </row>
    <row r="137" spans="1:8" ht="15.75">
      <c r="A137" s="166" t="s">
        <v>165</v>
      </c>
      <c r="B137" s="99"/>
      <c r="C137" s="161">
        <v>180</v>
      </c>
      <c r="D137" s="72">
        <f>SUM(D136:D136)</f>
        <v>0.9</v>
      </c>
      <c r="E137" s="72">
        <f>SUM(E136:E136)</f>
        <v>0.18</v>
      </c>
      <c r="F137" s="72">
        <f>SUM(F136:F136)</f>
        <v>18.18</v>
      </c>
      <c r="G137" s="72">
        <f>SUM(G136:G136)</f>
        <v>82.8</v>
      </c>
      <c r="H137" s="156"/>
    </row>
    <row r="138" spans="1:8" ht="15.75">
      <c r="A138" s="282" t="s">
        <v>11</v>
      </c>
      <c r="B138" s="107" t="s">
        <v>205</v>
      </c>
      <c r="C138" s="47">
        <v>50</v>
      </c>
      <c r="D138" s="73">
        <f>0.406125*C138/30</f>
        <v>0.6768750000000001</v>
      </c>
      <c r="E138" s="73">
        <f>1.717098*C138/30</f>
        <v>2.86183</v>
      </c>
      <c r="F138" s="73">
        <f>2.28228*C138/30</f>
        <v>3.8038000000000003</v>
      </c>
      <c r="G138" s="73">
        <f>26.207502*C138/30</f>
        <v>43.67917</v>
      </c>
      <c r="H138" s="54" t="s">
        <v>206</v>
      </c>
    </row>
    <row r="139" spans="1:8" ht="51">
      <c r="A139" s="282"/>
      <c r="B139" s="62" t="s">
        <v>269</v>
      </c>
      <c r="C139" s="69" t="s">
        <v>122</v>
      </c>
      <c r="D139" s="71">
        <v>4.78</v>
      </c>
      <c r="E139" s="71">
        <v>7.71</v>
      </c>
      <c r="F139" s="71">
        <v>12.65</v>
      </c>
      <c r="G139" s="71">
        <v>134.13</v>
      </c>
      <c r="H139" s="81" t="s">
        <v>82</v>
      </c>
    </row>
    <row r="140" spans="1:8" ht="38.25">
      <c r="A140" s="282"/>
      <c r="B140" s="62" t="s">
        <v>270</v>
      </c>
      <c r="C140" s="81">
        <v>70</v>
      </c>
      <c r="D140" s="71">
        <v>9.23</v>
      </c>
      <c r="E140" s="71">
        <v>6.23</v>
      </c>
      <c r="F140" s="71">
        <v>6.62</v>
      </c>
      <c r="G140" s="71">
        <v>119.43</v>
      </c>
      <c r="H140" s="81" t="s">
        <v>78</v>
      </c>
    </row>
    <row r="141" spans="1:8" ht="25.5">
      <c r="A141" s="282"/>
      <c r="B141" s="62" t="s">
        <v>207</v>
      </c>
      <c r="C141" s="81">
        <v>130</v>
      </c>
      <c r="D141" s="71">
        <f>3.1683355*C141/110</f>
        <v>3.7443965</v>
      </c>
      <c r="E141" s="71">
        <f>2.9911552*C141/110</f>
        <v>3.5350016</v>
      </c>
      <c r="F141" s="71">
        <f>21.6758542*C141/110</f>
        <v>25.616918599999998</v>
      </c>
      <c r="G141" s="71">
        <f>126.3*C141/110</f>
        <v>149.26363636363635</v>
      </c>
      <c r="H141" s="156" t="s">
        <v>307</v>
      </c>
    </row>
    <row r="142" spans="1:8" ht="25.5">
      <c r="A142" s="282"/>
      <c r="B142" s="102" t="s">
        <v>262</v>
      </c>
      <c r="C142" s="69">
        <v>180</v>
      </c>
      <c r="D142" s="66">
        <f>0.41*C142/150</f>
        <v>0.492</v>
      </c>
      <c r="E142" s="66">
        <f>0.06*C142/150</f>
        <v>0.072</v>
      </c>
      <c r="F142" s="66">
        <f>17.01*C142/150</f>
        <v>20.412000000000003</v>
      </c>
      <c r="G142" s="66">
        <f>70.15*C142/150</f>
        <v>84.18</v>
      </c>
      <c r="H142" s="156" t="s">
        <v>61</v>
      </c>
    </row>
    <row r="143" spans="1:8" ht="15.75">
      <c r="A143" s="282"/>
      <c r="B143" s="99" t="s">
        <v>12</v>
      </c>
      <c r="C143" s="69">
        <v>30</v>
      </c>
      <c r="D143" s="66">
        <f>1.32*C143/20</f>
        <v>1.98</v>
      </c>
      <c r="E143" s="66">
        <f>0.22*C143/20</f>
        <v>0.32999999999999996</v>
      </c>
      <c r="F143" s="66">
        <f>8.2*C143/20</f>
        <v>12.299999999999999</v>
      </c>
      <c r="G143" s="71">
        <f>40*C143/20</f>
        <v>60</v>
      </c>
      <c r="H143" s="156" t="s">
        <v>60</v>
      </c>
    </row>
    <row r="144" spans="1:8" ht="15.75">
      <c r="A144" s="282"/>
      <c r="B144" s="99" t="s">
        <v>41</v>
      </c>
      <c r="C144" s="160">
        <v>30</v>
      </c>
      <c r="D144" s="66">
        <f>2.28*C144/30</f>
        <v>2.28</v>
      </c>
      <c r="E144" s="66">
        <f>0.24*C144/30</f>
        <v>0.23999999999999996</v>
      </c>
      <c r="F144" s="66">
        <f>14.76*C144/30</f>
        <v>14.76</v>
      </c>
      <c r="G144" s="66">
        <f>70.5*C144/30</f>
        <v>70.5</v>
      </c>
      <c r="H144" s="156" t="s">
        <v>59</v>
      </c>
    </row>
    <row r="145" spans="1:8" ht="15.75">
      <c r="A145" s="290" t="s">
        <v>13</v>
      </c>
      <c r="B145" s="290"/>
      <c r="C145" s="65">
        <v>710</v>
      </c>
      <c r="D145" s="77">
        <f>SUM(D138:D144)</f>
        <v>23.183271500000004</v>
      </c>
      <c r="E145" s="77">
        <f>SUM(E138:E144)</f>
        <v>20.9788316</v>
      </c>
      <c r="F145" s="77">
        <f>SUM(F138:F144)</f>
        <v>96.1627186</v>
      </c>
      <c r="G145" s="77">
        <f>SUM(G138:G144)</f>
        <v>661.1828063636364</v>
      </c>
      <c r="H145" s="156"/>
    </row>
    <row r="146" spans="1:8" ht="25.5">
      <c r="A146" s="281" t="s">
        <v>149</v>
      </c>
      <c r="B146" s="99" t="s">
        <v>308</v>
      </c>
      <c r="C146" s="81">
        <v>70</v>
      </c>
      <c r="D146" s="71">
        <f>6.13256*C146/50</f>
        <v>8.585584</v>
      </c>
      <c r="E146" s="71">
        <f>4.6948*C146/50</f>
        <v>6.5727199999999995</v>
      </c>
      <c r="F146" s="71">
        <f>7.10073*C146/50</f>
        <v>9.941022</v>
      </c>
      <c r="G146" s="71">
        <f>95*C146/50</f>
        <v>133</v>
      </c>
      <c r="H146" s="156" t="s">
        <v>309</v>
      </c>
    </row>
    <row r="147" spans="1:8" ht="51">
      <c r="A147" s="281"/>
      <c r="B147" s="99" t="s">
        <v>244</v>
      </c>
      <c r="C147" s="81">
        <v>130</v>
      </c>
      <c r="D147" s="71">
        <v>2.59</v>
      </c>
      <c r="E147" s="71">
        <v>5.22</v>
      </c>
      <c r="F147" s="71">
        <v>14.27</v>
      </c>
      <c r="G147" s="71">
        <v>114.4</v>
      </c>
      <c r="H147" s="81" t="s">
        <v>80</v>
      </c>
    </row>
    <row r="148" spans="1:8" ht="25.5">
      <c r="A148" s="281"/>
      <c r="B148" s="99" t="s">
        <v>241</v>
      </c>
      <c r="C148" s="69">
        <v>180</v>
      </c>
      <c r="D148" s="66">
        <f>0.48*C148/150</f>
        <v>0.576</v>
      </c>
      <c r="E148" s="66">
        <f>0.2*C148/150</f>
        <v>0.24</v>
      </c>
      <c r="F148" s="66">
        <f>12.95*C148/150</f>
        <v>15.54</v>
      </c>
      <c r="G148" s="66">
        <f>55.52*C148/150</f>
        <v>66.62400000000001</v>
      </c>
      <c r="H148" s="156" t="s">
        <v>72</v>
      </c>
    </row>
    <row r="149" spans="1:8" ht="15.75">
      <c r="A149" s="281"/>
      <c r="B149" s="99" t="s">
        <v>12</v>
      </c>
      <c r="C149" s="69">
        <v>30</v>
      </c>
      <c r="D149" s="66">
        <f>1.32*C149/20</f>
        <v>1.98</v>
      </c>
      <c r="E149" s="66">
        <f>0.22*C149/20</f>
        <v>0.32999999999999996</v>
      </c>
      <c r="F149" s="66">
        <f>8.2*C149/20</f>
        <v>12.299999999999999</v>
      </c>
      <c r="G149" s="71">
        <f>40*C149/20</f>
        <v>60</v>
      </c>
      <c r="H149" s="156" t="s">
        <v>60</v>
      </c>
    </row>
    <row r="150" spans="1:8" ht="15.75">
      <c r="A150" s="281"/>
      <c r="B150" s="100" t="s">
        <v>209</v>
      </c>
      <c r="C150" s="53">
        <v>30</v>
      </c>
      <c r="D150" s="59">
        <f>2*30/50</f>
        <v>1.2</v>
      </c>
      <c r="E150" s="59">
        <f>13*30/50</f>
        <v>7.8</v>
      </c>
      <c r="F150" s="59">
        <f>32.5*30/50</f>
        <v>19.5</v>
      </c>
      <c r="G150" s="59">
        <f>127.5*30/25</f>
        <v>153</v>
      </c>
      <c r="H150" s="156" t="s">
        <v>157</v>
      </c>
    </row>
    <row r="151" spans="1:8" ht="15.75">
      <c r="A151" s="283" t="s">
        <v>150</v>
      </c>
      <c r="B151" s="283"/>
      <c r="C151" s="65">
        <v>440</v>
      </c>
      <c r="D151" s="77">
        <f>SUM(D146:D150)</f>
        <v>14.931584</v>
      </c>
      <c r="E151" s="77">
        <f>SUM(E146:E150)</f>
        <v>20.16272</v>
      </c>
      <c r="F151" s="77">
        <f>SUM(F146:F150)</f>
        <v>71.55102199999999</v>
      </c>
      <c r="G151" s="77">
        <f>SUM(G146:G150)</f>
        <v>527.024</v>
      </c>
      <c r="H151" s="156"/>
    </row>
    <row r="152" spans="1:8" ht="15.75">
      <c r="A152" s="183" t="s">
        <v>22</v>
      </c>
      <c r="B152" s="111"/>
      <c r="C152" s="173"/>
      <c r="D152" s="80">
        <f>D135+D137+D145+D151</f>
        <v>47.946945500000005</v>
      </c>
      <c r="E152" s="80">
        <f>E135+E137+E145+E151</f>
        <v>54.099831599999995</v>
      </c>
      <c r="F152" s="80">
        <f>F135+F137+F145+F151</f>
        <v>230.7517466</v>
      </c>
      <c r="G152" s="80">
        <f>G135+G137+G145+G151</f>
        <v>1625.8743263636366</v>
      </c>
      <c r="H152" s="167"/>
    </row>
    <row r="153" spans="1:8" ht="15.75">
      <c r="A153" s="284" t="s">
        <v>23</v>
      </c>
      <c r="B153" s="284"/>
      <c r="C153" s="284"/>
      <c r="D153" s="284"/>
      <c r="E153" s="284"/>
      <c r="F153" s="284"/>
      <c r="G153" s="284"/>
      <c r="H153" s="284"/>
    </row>
    <row r="154" spans="1:8" ht="25.5">
      <c r="A154" s="282" t="s">
        <v>9</v>
      </c>
      <c r="B154" s="62" t="s">
        <v>210</v>
      </c>
      <c r="C154" s="69">
        <v>150</v>
      </c>
      <c r="D154" s="66">
        <f>5.26635*C154/150</f>
        <v>5.26635</v>
      </c>
      <c r="E154" s="66">
        <f>2.3694*C154/150</f>
        <v>2.3694</v>
      </c>
      <c r="F154" s="66">
        <f>25.139205*C154/150</f>
        <v>25.139205</v>
      </c>
      <c r="G154" s="66">
        <f>127.61*C154/135</f>
        <v>141.7888888888889</v>
      </c>
      <c r="H154" s="220" t="s">
        <v>115</v>
      </c>
    </row>
    <row r="155" spans="1:8" ht="25.5">
      <c r="A155" s="282"/>
      <c r="B155" s="62" t="s">
        <v>251</v>
      </c>
      <c r="C155" s="165" t="s">
        <v>225</v>
      </c>
      <c r="D155" s="71">
        <v>6.52</v>
      </c>
      <c r="E155" s="71">
        <v>9.25</v>
      </c>
      <c r="F155" s="71">
        <v>21.965</v>
      </c>
      <c r="G155" s="71">
        <v>198.6</v>
      </c>
      <c r="H155" s="159" t="s">
        <v>52</v>
      </c>
    </row>
    <row r="156" spans="1:8" ht="15.75">
      <c r="A156" s="282"/>
      <c r="B156" s="104" t="s">
        <v>256</v>
      </c>
      <c r="C156" s="165" t="s">
        <v>120</v>
      </c>
      <c r="D156" s="16">
        <f>0.0376*C156/180</f>
        <v>0.04177777777777778</v>
      </c>
      <c r="E156" s="16">
        <f>0.008976*C156/180</f>
        <v>0.009973333333333332</v>
      </c>
      <c r="F156" s="16">
        <f>6.81863*C156/180</f>
        <v>7.576255555555555</v>
      </c>
      <c r="G156" s="71">
        <f>29.34*C156/180</f>
        <v>32.6</v>
      </c>
      <c r="H156" s="156" t="s">
        <v>54</v>
      </c>
    </row>
    <row r="157" spans="1:8" ht="15.75">
      <c r="A157" s="290" t="s">
        <v>10</v>
      </c>
      <c r="B157" s="290"/>
      <c r="C157" s="65">
        <v>400</v>
      </c>
      <c r="D157" s="77">
        <f>SUM(D154:D156)</f>
        <v>11.828127777777777</v>
      </c>
      <c r="E157" s="77">
        <f>SUM(E154:E156)</f>
        <v>11.629373333333334</v>
      </c>
      <c r="F157" s="77">
        <f>SUM(F154:F156)</f>
        <v>54.680460555555555</v>
      </c>
      <c r="G157" s="77">
        <f>SUM(G154:G156)</f>
        <v>372.98888888888894</v>
      </c>
      <c r="H157" s="156"/>
    </row>
    <row r="158" spans="1:8" ht="15.75">
      <c r="A158" s="65" t="s">
        <v>38</v>
      </c>
      <c r="B158" s="100" t="s">
        <v>211</v>
      </c>
      <c r="C158" s="64">
        <v>100</v>
      </c>
      <c r="D158" s="82">
        <v>0.8</v>
      </c>
      <c r="E158" s="82">
        <v>0.3</v>
      </c>
      <c r="F158" s="82">
        <v>9.6</v>
      </c>
      <c r="G158" s="82">
        <v>42</v>
      </c>
      <c r="H158" s="172" t="s">
        <v>65</v>
      </c>
    </row>
    <row r="159" spans="1:8" ht="15.75">
      <c r="A159" s="282" t="s">
        <v>11</v>
      </c>
      <c r="B159" s="102" t="s">
        <v>192</v>
      </c>
      <c r="C159" s="47">
        <v>50</v>
      </c>
      <c r="D159" s="73">
        <f>0.57*C159/30</f>
        <v>0.9499999999999998</v>
      </c>
      <c r="E159" s="73">
        <f>2.67*C159/30</f>
        <v>4.45</v>
      </c>
      <c r="F159" s="73">
        <f>2.31*C159/30</f>
        <v>3.85</v>
      </c>
      <c r="G159" s="73">
        <f>35.7*C159/30</f>
        <v>59.50000000000001</v>
      </c>
      <c r="H159" s="156" t="s">
        <v>317</v>
      </c>
    </row>
    <row r="160" spans="1:8" ht="38.25">
      <c r="A160" s="282"/>
      <c r="B160" s="102" t="s">
        <v>271</v>
      </c>
      <c r="C160" s="81" t="s">
        <v>124</v>
      </c>
      <c r="D160" s="71">
        <v>5.488378</v>
      </c>
      <c r="E160" s="71">
        <v>2.261336</v>
      </c>
      <c r="F160" s="71">
        <v>12.965679999999999</v>
      </c>
      <c r="G160" s="71">
        <v>94.17</v>
      </c>
      <c r="H160" s="217" t="s">
        <v>314</v>
      </c>
    </row>
    <row r="161" spans="1:8" ht="25.5">
      <c r="A161" s="282"/>
      <c r="B161" s="62" t="s">
        <v>232</v>
      </c>
      <c r="C161" s="53">
        <v>180</v>
      </c>
      <c r="D161" s="48">
        <f>13.86*C161/180</f>
        <v>13.859999999999998</v>
      </c>
      <c r="E161" s="48">
        <f>13.72*C161/180</f>
        <v>13.719999999999999</v>
      </c>
      <c r="F161" s="48">
        <f>36.01*C161/180</f>
        <v>36.01</v>
      </c>
      <c r="G161" s="48">
        <f>323.02*C161/180</f>
        <v>323.02</v>
      </c>
      <c r="H161" s="60" t="s">
        <v>213</v>
      </c>
    </row>
    <row r="162" spans="1:8" ht="25.5">
      <c r="A162" s="282"/>
      <c r="B162" s="102" t="s">
        <v>248</v>
      </c>
      <c r="C162" s="69">
        <v>180</v>
      </c>
      <c r="D162" s="66">
        <f>0.11*C162/150</f>
        <v>0.132</v>
      </c>
      <c r="E162" s="66">
        <f>0.11*C162/150</f>
        <v>0.132</v>
      </c>
      <c r="F162" s="66">
        <f>11.75*C162/150</f>
        <v>14.1</v>
      </c>
      <c r="G162" s="66">
        <f>48.5*C162/150</f>
        <v>58.2</v>
      </c>
      <c r="H162" s="156" t="s">
        <v>75</v>
      </c>
    </row>
    <row r="163" spans="1:8" ht="15.75">
      <c r="A163" s="282"/>
      <c r="B163" s="99" t="s">
        <v>12</v>
      </c>
      <c r="C163" s="69">
        <v>20</v>
      </c>
      <c r="D163" s="66">
        <f>1.32*C163/20</f>
        <v>1.32</v>
      </c>
      <c r="E163" s="66">
        <f>0.22*C163/20</f>
        <v>0.22000000000000003</v>
      </c>
      <c r="F163" s="66">
        <f>8.2*C163/20</f>
        <v>8.2</v>
      </c>
      <c r="G163" s="71">
        <f>40*C163/20</f>
        <v>40</v>
      </c>
      <c r="H163" s="156" t="s">
        <v>60</v>
      </c>
    </row>
    <row r="164" spans="1:8" ht="15.75">
      <c r="A164" s="282"/>
      <c r="B164" s="99" t="s">
        <v>41</v>
      </c>
      <c r="C164" s="160">
        <v>30</v>
      </c>
      <c r="D164" s="66">
        <f>2.28*C164/30</f>
        <v>2.28</v>
      </c>
      <c r="E164" s="66">
        <f>0.24*C164/30</f>
        <v>0.23999999999999996</v>
      </c>
      <c r="F164" s="66">
        <f>14.76*C164/30</f>
        <v>14.76</v>
      </c>
      <c r="G164" s="66">
        <f>70.5*C164/30</f>
        <v>70.5</v>
      </c>
      <c r="H164" s="156" t="s">
        <v>59</v>
      </c>
    </row>
    <row r="165" spans="1:8" ht="15.75">
      <c r="A165" s="290" t="s">
        <v>13</v>
      </c>
      <c r="B165" s="290"/>
      <c r="C165" s="65">
        <v>680</v>
      </c>
      <c r="D165" s="77">
        <f>SUM(D159:D164)</f>
        <v>24.030378000000002</v>
      </c>
      <c r="E165" s="77">
        <f>SUM(E159:E164)</f>
        <v>21.023335999999997</v>
      </c>
      <c r="F165" s="77">
        <f>SUM(F159:F164)</f>
        <v>89.88568000000001</v>
      </c>
      <c r="G165" s="77">
        <f>SUM(G159:G164)</f>
        <v>645.39</v>
      </c>
      <c r="H165" s="156"/>
    </row>
    <row r="166" spans="1:8" ht="38.25">
      <c r="A166" s="281" t="s">
        <v>149</v>
      </c>
      <c r="B166" s="126" t="s">
        <v>336</v>
      </c>
      <c r="C166" s="81" t="s">
        <v>181</v>
      </c>
      <c r="D166" s="71">
        <v>19.59218</v>
      </c>
      <c r="E166" s="71">
        <v>8.916239999999998</v>
      </c>
      <c r="F166" s="71">
        <v>42.11626</v>
      </c>
      <c r="G166" s="71">
        <v>323</v>
      </c>
      <c r="H166" s="156" t="s">
        <v>161</v>
      </c>
    </row>
    <row r="167" spans="1:8" ht="15.75">
      <c r="A167" s="281"/>
      <c r="B167" s="102" t="s">
        <v>174</v>
      </c>
      <c r="C167" s="69">
        <v>200</v>
      </c>
      <c r="D167" s="66">
        <f>4.35*C167/150</f>
        <v>5.799999999999999</v>
      </c>
      <c r="E167" s="66">
        <f>4.8*C167/150</f>
        <v>6.4</v>
      </c>
      <c r="F167" s="66">
        <f>7.05*C167/150</f>
        <v>9.4</v>
      </c>
      <c r="G167" s="71">
        <f>90*C167/150</f>
        <v>120</v>
      </c>
      <c r="H167" s="156" t="s">
        <v>62</v>
      </c>
    </row>
    <row r="168" spans="1:8" ht="15.75">
      <c r="A168" s="281"/>
      <c r="B168" s="109" t="s">
        <v>229</v>
      </c>
      <c r="C168" s="53">
        <v>22</v>
      </c>
      <c r="D168" s="59">
        <f>0.8*C168/11</f>
        <v>1.6</v>
      </c>
      <c r="E168" s="59">
        <f>2.1*C168/11</f>
        <v>4.2</v>
      </c>
      <c r="F168" s="59">
        <f>7.5*C168/11</f>
        <v>15</v>
      </c>
      <c r="G168" s="59">
        <f>52*C168/11</f>
        <v>104</v>
      </c>
      <c r="H168" s="60" t="s">
        <v>157</v>
      </c>
    </row>
    <row r="169" spans="1:8" ht="15.75">
      <c r="A169" s="290" t="s">
        <v>150</v>
      </c>
      <c r="B169" s="290"/>
      <c r="C169" s="65">
        <v>330</v>
      </c>
      <c r="D169" s="77">
        <f>SUM(D166:D168)</f>
        <v>26.992179999999998</v>
      </c>
      <c r="E169" s="77">
        <f>SUM(E166:E168)</f>
        <v>19.51624</v>
      </c>
      <c r="F169" s="77">
        <f>SUM(F166:F168)</f>
        <v>66.51625999999999</v>
      </c>
      <c r="G169" s="77">
        <f>SUM(G166:G168)</f>
        <v>547</v>
      </c>
      <c r="H169" s="156"/>
    </row>
    <row r="170" spans="1:8" ht="15.75">
      <c r="A170" s="293" t="s">
        <v>24</v>
      </c>
      <c r="B170" s="293"/>
      <c r="C170" s="173"/>
      <c r="D170" s="80">
        <f>D157+D158+D165+D169</f>
        <v>63.650685777777774</v>
      </c>
      <c r="E170" s="80">
        <f>E157+E158+E165+E169</f>
        <v>52.46894933333333</v>
      </c>
      <c r="F170" s="80">
        <f>F157+F158+F165+F169</f>
        <v>220.68240055555555</v>
      </c>
      <c r="G170" s="80">
        <f>G157+G158+G165+G169</f>
        <v>1607.378888888889</v>
      </c>
      <c r="H170" s="184"/>
    </row>
    <row r="171" spans="1:8" ht="15.75">
      <c r="A171" s="284" t="s">
        <v>25</v>
      </c>
      <c r="B171" s="284"/>
      <c r="C171" s="284"/>
      <c r="D171" s="284"/>
      <c r="E171" s="284"/>
      <c r="F171" s="284"/>
      <c r="G171" s="284"/>
      <c r="H171" s="284"/>
    </row>
    <row r="172" spans="1:8" ht="25.5">
      <c r="A172" s="282" t="s">
        <v>9</v>
      </c>
      <c r="B172" s="62" t="s">
        <v>322</v>
      </c>
      <c r="C172" s="69">
        <v>160</v>
      </c>
      <c r="D172" s="66">
        <f>3.57*C172/130</f>
        <v>4.3938461538461535</v>
      </c>
      <c r="E172" s="66">
        <f>2.95*C172/130</f>
        <v>3.6307692307692307</v>
      </c>
      <c r="F172" s="66">
        <f>11.49*C172/130</f>
        <v>14.141538461538461</v>
      </c>
      <c r="G172" s="66">
        <f>83.77*C172/130</f>
        <v>103.10153846153845</v>
      </c>
      <c r="H172" s="159" t="s">
        <v>66</v>
      </c>
    </row>
    <row r="173" spans="1:8" ht="25.5">
      <c r="A173" s="282"/>
      <c r="B173" s="62" t="s">
        <v>251</v>
      </c>
      <c r="C173" s="165" t="s">
        <v>225</v>
      </c>
      <c r="D173" s="71">
        <v>6.52</v>
      </c>
      <c r="E173" s="71">
        <v>9.25</v>
      </c>
      <c r="F173" s="71">
        <v>21.965</v>
      </c>
      <c r="G173" s="71">
        <v>198.6</v>
      </c>
      <c r="H173" s="159" t="s">
        <v>52</v>
      </c>
    </row>
    <row r="174" spans="1:8" ht="25.5">
      <c r="A174" s="282"/>
      <c r="B174" s="99" t="s">
        <v>236</v>
      </c>
      <c r="C174" s="67" t="s">
        <v>120</v>
      </c>
      <c r="D174" s="73">
        <f>1.62432*C174/150</f>
        <v>2.1657599999999997</v>
      </c>
      <c r="E174" s="73">
        <f>1.66144*C174/150</f>
        <v>2.2152533333333335</v>
      </c>
      <c r="F174" s="73">
        <f>9.03266*C174/150</f>
        <v>12.043546666666666</v>
      </c>
      <c r="G174" s="73">
        <f>57.58088*C174/150</f>
        <v>76.77450666666667</v>
      </c>
      <c r="H174" s="54" t="s">
        <v>172</v>
      </c>
    </row>
    <row r="175" spans="1:8" ht="15.75">
      <c r="A175" s="290" t="s">
        <v>10</v>
      </c>
      <c r="B175" s="290"/>
      <c r="C175" s="65">
        <v>410</v>
      </c>
      <c r="D175" s="77">
        <f>SUM(D172:D174)</f>
        <v>13.079606153846154</v>
      </c>
      <c r="E175" s="77">
        <f>SUM(E172:E174)</f>
        <v>15.096022564102563</v>
      </c>
      <c r="F175" s="77">
        <f>SUM(F172:F174)</f>
        <v>48.15008512820513</v>
      </c>
      <c r="G175" s="77">
        <f>SUM(G172:G174)</f>
        <v>378.4760451282051</v>
      </c>
      <c r="H175" s="156"/>
    </row>
    <row r="176" spans="1:8" ht="15.75">
      <c r="A176" s="166" t="s">
        <v>28</v>
      </c>
      <c r="B176" s="100" t="s">
        <v>74</v>
      </c>
      <c r="C176" s="64">
        <v>100</v>
      </c>
      <c r="D176" s="82">
        <v>0.4</v>
      </c>
      <c r="E176" s="82">
        <v>0.3</v>
      </c>
      <c r="F176" s="82">
        <v>10.3</v>
      </c>
      <c r="G176" s="82">
        <v>47</v>
      </c>
      <c r="H176" s="172" t="s">
        <v>65</v>
      </c>
    </row>
    <row r="177" spans="1:8" ht="15.75">
      <c r="A177" s="282" t="s">
        <v>11</v>
      </c>
      <c r="B177" s="100" t="s">
        <v>117</v>
      </c>
      <c r="C177" s="160">
        <v>50</v>
      </c>
      <c r="D177" s="16">
        <v>0.35</v>
      </c>
      <c r="E177" s="16">
        <v>0.05</v>
      </c>
      <c r="F177" s="16">
        <v>0.95</v>
      </c>
      <c r="G177" s="86">
        <v>5.5</v>
      </c>
      <c r="H177" s="81" t="s">
        <v>56</v>
      </c>
    </row>
    <row r="178" spans="1:8" ht="38.25">
      <c r="A178" s="282"/>
      <c r="B178" s="62" t="s">
        <v>215</v>
      </c>
      <c r="C178" s="69" t="s">
        <v>230</v>
      </c>
      <c r="D178" s="75">
        <v>3.9871</v>
      </c>
      <c r="E178" s="75">
        <v>4.93112</v>
      </c>
      <c r="F178" s="75">
        <v>8.663749999999999</v>
      </c>
      <c r="G178" s="75">
        <v>95.2</v>
      </c>
      <c r="H178" s="156" t="s">
        <v>313</v>
      </c>
    </row>
    <row r="179" spans="1:8" ht="25.5">
      <c r="A179" s="282"/>
      <c r="B179" s="62" t="s">
        <v>310</v>
      </c>
      <c r="C179" s="47">
        <v>70</v>
      </c>
      <c r="D179" s="73">
        <f>6.55493333333333*C179/50</f>
        <v>9.176906666666662</v>
      </c>
      <c r="E179" s="73">
        <f>8.9628*C179/50</f>
        <v>12.54792</v>
      </c>
      <c r="F179" s="73">
        <f>6.37*C179/50</f>
        <v>8.918000000000001</v>
      </c>
      <c r="G179" s="73">
        <f>132*C179/50</f>
        <v>184.8</v>
      </c>
      <c r="H179" s="156" t="s">
        <v>311</v>
      </c>
    </row>
    <row r="180" spans="1:8" ht="25.5">
      <c r="A180" s="282"/>
      <c r="B180" s="62" t="s">
        <v>261</v>
      </c>
      <c r="C180" s="81">
        <v>130</v>
      </c>
      <c r="D180" s="71">
        <f>2.45*C180/120</f>
        <v>2.654166666666667</v>
      </c>
      <c r="E180" s="71">
        <f>3.43*C180/120</f>
        <v>3.7158333333333338</v>
      </c>
      <c r="F180" s="71">
        <f>16.05*C180/120</f>
        <v>17.3875</v>
      </c>
      <c r="G180" s="71">
        <v>95</v>
      </c>
      <c r="H180" s="156" t="s">
        <v>58</v>
      </c>
    </row>
    <row r="181" spans="1:8" ht="25.5">
      <c r="A181" s="282"/>
      <c r="B181" s="102" t="s">
        <v>262</v>
      </c>
      <c r="C181" s="69">
        <v>180</v>
      </c>
      <c r="D181" s="66">
        <f>0.41*C181/150</f>
        <v>0.492</v>
      </c>
      <c r="E181" s="66">
        <f>0.06*C181/150</f>
        <v>0.072</v>
      </c>
      <c r="F181" s="66">
        <f>17.01*C181/150</f>
        <v>20.412000000000003</v>
      </c>
      <c r="G181" s="66">
        <f>70.15*C181/150</f>
        <v>84.18</v>
      </c>
      <c r="H181" s="156" t="s">
        <v>61</v>
      </c>
    </row>
    <row r="182" spans="1:8" ht="15.75">
      <c r="A182" s="282"/>
      <c r="B182" s="99" t="s">
        <v>12</v>
      </c>
      <c r="C182" s="69">
        <v>30</v>
      </c>
      <c r="D182" s="66">
        <f>1.32*C182/20</f>
        <v>1.98</v>
      </c>
      <c r="E182" s="66">
        <f>0.22*C182/20</f>
        <v>0.32999999999999996</v>
      </c>
      <c r="F182" s="66">
        <f>8.2*C182/20</f>
        <v>12.299999999999999</v>
      </c>
      <c r="G182" s="71">
        <f>40*C182/20</f>
        <v>60</v>
      </c>
      <c r="H182" s="156" t="s">
        <v>60</v>
      </c>
    </row>
    <row r="183" spans="1:8" ht="15.75">
      <c r="A183" s="282"/>
      <c r="B183" s="99" t="s">
        <v>41</v>
      </c>
      <c r="C183" s="160">
        <v>40</v>
      </c>
      <c r="D183" s="66">
        <f>2.28*C183/30</f>
        <v>3.0399999999999996</v>
      </c>
      <c r="E183" s="66">
        <f>0.24*C183/30</f>
        <v>0.32</v>
      </c>
      <c r="F183" s="66">
        <f>14.76*C183/30</f>
        <v>19.68</v>
      </c>
      <c r="G183" s="66">
        <f>70.5*C183/30</f>
        <v>94</v>
      </c>
      <c r="H183" s="156" t="s">
        <v>59</v>
      </c>
    </row>
    <row r="184" spans="1:8" ht="15.75">
      <c r="A184" s="290" t="s">
        <v>13</v>
      </c>
      <c r="B184" s="290"/>
      <c r="C184" s="65">
        <v>730</v>
      </c>
      <c r="D184" s="77">
        <f>SUM(D177:D183)</f>
        <v>21.68017333333333</v>
      </c>
      <c r="E184" s="77">
        <f>SUM(E177:E183)</f>
        <v>21.96687333333333</v>
      </c>
      <c r="F184" s="77">
        <f>SUM(F177:F183)</f>
        <v>88.31125</v>
      </c>
      <c r="G184" s="77">
        <f>SUM(G177:G183)</f>
        <v>618.6800000000001</v>
      </c>
      <c r="H184" s="156"/>
    </row>
    <row r="185" spans="1:8" ht="38.25">
      <c r="A185" s="281" t="s">
        <v>149</v>
      </c>
      <c r="B185" s="135" t="s">
        <v>334</v>
      </c>
      <c r="C185" s="85" t="s">
        <v>120</v>
      </c>
      <c r="D185" s="48">
        <f>17.357194*C185/130</f>
        <v>26.703375384615384</v>
      </c>
      <c r="E185" s="48">
        <f>17.79888*C185/130</f>
        <v>27.38289230769231</v>
      </c>
      <c r="F185" s="48">
        <f>10.713248*C185/130</f>
        <v>16.481920000000002</v>
      </c>
      <c r="G185" s="48">
        <f>272.471688*C185/130</f>
        <v>419.1872123076922</v>
      </c>
      <c r="H185" s="54" t="s">
        <v>216</v>
      </c>
    </row>
    <row r="186" spans="1:8" ht="15.75">
      <c r="A186" s="281"/>
      <c r="B186" s="99" t="s">
        <v>12</v>
      </c>
      <c r="C186" s="69">
        <v>20</v>
      </c>
      <c r="D186" s="66">
        <f>1.32*C186/20</f>
        <v>1.32</v>
      </c>
      <c r="E186" s="66">
        <f>0.22*C186/20</f>
        <v>0.22000000000000003</v>
      </c>
      <c r="F186" s="66">
        <f>8.2*C186/20</f>
        <v>8.2</v>
      </c>
      <c r="G186" s="71">
        <f>40*C186/20</f>
        <v>40</v>
      </c>
      <c r="H186" s="156" t="s">
        <v>60</v>
      </c>
    </row>
    <row r="187" spans="1:8" ht="15.75">
      <c r="A187" s="281"/>
      <c r="B187" s="99" t="s">
        <v>41</v>
      </c>
      <c r="C187" s="160">
        <v>20</v>
      </c>
      <c r="D187" s="66">
        <f>2.28*C187/30</f>
        <v>1.5199999999999998</v>
      </c>
      <c r="E187" s="66">
        <f>0.24*C187/30</f>
        <v>0.16</v>
      </c>
      <c r="F187" s="66">
        <f>14.76*C187/30</f>
        <v>9.84</v>
      </c>
      <c r="G187" s="66">
        <f>70.5*C187/30</f>
        <v>47</v>
      </c>
      <c r="H187" s="156" t="s">
        <v>59</v>
      </c>
    </row>
    <row r="188" spans="1:8" ht="15.75">
      <c r="A188" s="281"/>
      <c r="B188" s="100" t="s">
        <v>256</v>
      </c>
      <c r="C188" s="165" t="s">
        <v>48</v>
      </c>
      <c r="D188" s="16">
        <f>0.0376*C188/180</f>
        <v>0.0376</v>
      </c>
      <c r="E188" s="16">
        <f>0.008976*C188/180</f>
        <v>0.008976</v>
      </c>
      <c r="F188" s="16">
        <f>6.81863*C188/180</f>
        <v>6.81863</v>
      </c>
      <c r="G188" s="71">
        <f>29.34*C188/180</f>
        <v>29.34</v>
      </c>
      <c r="H188" s="156" t="s">
        <v>54</v>
      </c>
    </row>
    <row r="189" spans="1:8" ht="15.75">
      <c r="A189" s="290" t="s">
        <v>150</v>
      </c>
      <c r="B189" s="290"/>
      <c r="C189" s="65">
        <v>420</v>
      </c>
      <c r="D189" s="77">
        <f>SUM(D185:D188)</f>
        <v>29.580975384615385</v>
      </c>
      <c r="E189" s="77">
        <f>SUM(E185:E188)</f>
        <v>27.77186830769231</v>
      </c>
      <c r="F189" s="77">
        <f>SUM(F185:F188)</f>
        <v>41.34055</v>
      </c>
      <c r="G189" s="77">
        <f>SUM(G185:G188)</f>
        <v>535.5272123076923</v>
      </c>
      <c r="H189" s="156"/>
    </row>
    <row r="190" spans="1:8" ht="15.75">
      <c r="A190" s="291" t="s">
        <v>26</v>
      </c>
      <c r="B190" s="291"/>
      <c r="C190" s="173"/>
      <c r="D190" s="80">
        <f>D175+D176+D184+D189</f>
        <v>64.74075487179488</v>
      </c>
      <c r="E190" s="80">
        <f>E175+E176+E184+E189</f>
        <v>65.13476420512819</v>
      </c>
      <c r="F190" s="80">
        <f>F175+F176+F184+F189</f>
        <v>188.10188512820514</v>
      </c>
      <c r="G190" s="80">
        <f>G175+G176+G184+G189</f>
        <v>1579.6832574358975</v>
      </c>
      <c r="H190" s="167"/>
    </row>
    <row r="191" spans="1:8" ht="15.75">
      <c r="A191" s="284" t="s">
        <v>36</v>
      </c>
      <c r="B191" s="284"/>
      <c r="C191" s="284"/>
      <c r="D191" s="284"/>
      <c r="E191" s="284"/>
      <c r="F191" s="284"/>
      <c r="G191" s="284"/>
      <c r="H191" s="284"/>
    </row>
    <row r="192" spans="1:8" ht="25.5">
      <c r="A192" s="282" t="s">
        <v>9</v>
      </c>
      <c r="B192" s="62" t="s">
        <v>217</v>
      </c>
      <c r="C192" s="47">
        <v>160</v>
      </c>
      <c r="D192" s="73">
        <f>5.6212*C192/130</f>
        <v>6.9184</v>
      </c>
      <c r="E192" s="73">
        <f>2.3738*C192/130</f>
        <v>2.9215999999999998</v>
      </c>
      <c r="F192" s="73">
        <f>23.209277*C192/130</f>
        <v>28.565264</v>
      </c>
      <c r="G192" s="232">
        <f>103.686108*C192/130</f>
        <v>127.6136713846154</v>
      </c>
      <c r="H192" s="222" t="s">
        <v>342</v>
      </c>
    </row>
    <row r="193" spans="1:8" ht="15.75">
      <c r="A193" s="282"/>
      <c r="B193" s="99" t="s">
        <v>235</v>
      </c>
      <c r="C193" s="155" t="s">
        <v>126</v>
      </c>
      <c r="D193" s="66">
        <v>2.33</v>
      </c>
      <c r="E193" s="66">
        <v>8.12</v>
      </c>
      <c r="F193" s="66">
        <v>15.55</v>
      </c>
      <c r="G193" s="16">
        <v>144.7</v>
      </c>
      <c r="H193" s="81" t="s">
        <v>67</v>
      </c>
    </row>
    <row r="194" spans="1:8" ht="25.5">
      <c r="A194" s="282"/>
      <c r="B194" s="62" t="s">
        <v>252</v>
      </c>
      <c r="C194" s="69">
        <v>200</v>
      </c>
      <c r="D194" s="71">
        <f>2.46*C194/180</f>
        <v>2.7333333333333334</v>
      </c>
      <c r="E194" s="71">
        <f>1.86*C194/180</f>
        <v>2.066666666666667</v>
      </c>
      <c r="F194" s="71">
        <f>11.94*C194/180</f>
        <v>13.266666666666667</v>
      </c>
      <c r="G194" s="71">
        <f>64*C194/180</f>
        <v>71.11111111111111</v>
      </c>
      <c r="H194" s="159" t="s">
        <v>81</v>
      </c>
    </row>
    <row r="195" spans="1:8" ht="15.75">
      <c r="A195" s="283" t="s">
        <v>10</v>
      </c>
      <c r="B195" s="283"/>
      <c r="C195" s="65">
        <v>410</v>
      </c>
      <c r="D195" s="77">
        <f>SUM(D192:D194)</f>
        <v>11.981733333333334</v>
      </c>
      <c r="E195" s="77">
        <f>SUM(E192:E194)</f>
        <v>13.108266666666665</v>
      </c>
      <c r="F195" s="77">
        <f>SUM(F192:F194)</f>
        <v>57.38193066666666</v>
      </c>
      <c r="G195" s="77">
        <f>SUM(G192:G194)</f>
        <v>343.4247824957265</v>
      </c>
      <c r="H195" s="156"/>
    </row>
    <row r="196" spans="1:8" ht="15.75">
      <c r="A196" s="166" t="s">
        <v>38</v>
      </c>
      <c r="B196" s="100" t="s">
        <v>44</v>
      </c>
      <c r="C196" s="65">
        <v>180</v>
      </c>
      <c r="D196" s="77">
        <f>4.35*C196/150</f>
        <v>5.219999999999999</v>
      </c>
      <c r="E196" s="77">
        <f>3.75*C196/150</f>
        <v>4.5</v>
      </c>
      <c r="F196" s="77">
        <f>6*C196/150</f>
        <v>7.2</v>
      </c>
      <c r="G196" s="77">
        <f>79.5*C196/150</f>
        <v>95.4</v>
      </c>
      <c r="H196" s="156" t="s">
        <v>62</v>
      </c>
    </row>
    <row r="197" spans="1:8" ht="15.75">
      <c r="A197" s="282" t="s">
        <v>11</v>
      </c>
      <c r="B197" s="100" t="s">
        <v>68</v>
      </c>
      <c r="C197" s="160">
        <v>50</v>
      </c>
      <c r="D197" s="16">
        <v>0.55</v>
      </c>
      <c r="E197" s="16">
        <v>0.1</v>
      </c>
      <c r="F197" s="16">
        <v>1.9</v>
      </c>
      <c r="G197" s="86">
        <v>12</v>
      </c>
      <c r="H197" s="81" t="s">
        <v>56</v>
      </c>
    </row>
    <row r="198" spans="1:8" ht="38.25">
      <c r="A198" s="282"/>
      <c r="B198" s="102" t="s">
        <v>272</v>
      </c>
      <c r="C198" s="81" t="s">
        <v>123</v>
      </c>
      <c r="D198" s="71">
        <v>6.389368</v>
      </c>
      <c r="E198" s="71">
        <v>6.163872</v>
      </c>
      <c r="F198" s="71">
        <v>14.365260000000001</v>
      </c>
      <c r="G198" s="71">
        <v>138</v>
      </c>
      <c r="H198" s="156" t="s">
        <v>82</v>
      </c>
    </row>
    <row r="199" spans="1:8" ht="31.5">
      <c r="A199" s="282"/>
      <c r="B199" s="62" t="s">
        <v>273</v>
      </c>
      <c r="C199" s="53">
        <v>80</v>
      </c>
      <c r="D199" s="59">
        <f>8.6098548*C199/60</f>
        <v>11.479806400000001</v>
      </c>
      <c r="E199" s="59">
        <f>8.4408192*C199/60</f>
        <v>11.2544256</v>
      </c>
      <c r="F199" s="59">
        <f>1.8204732*C199/60</f>
        <v>2.4272976</v>
      </c>
      <c r="G199" s="59">
        <f>117.6886848*C199/60</f>
        <v>156.91824640000002</v>
      </c>
      <c r="H199" s="164" t="s">
        <v>218</v>
      </c>
    </row>
    <row r="200" spans="1:8" ht="25.5">
      <c r="A200" s="282"/>
      <c r="B200" s="62" t="s">
        <v>274</v>
      </c>
      <c r="C200" s="81">
        <v>130</v>
      </c>
      <c r="D200" s="71">
        <v>2.46</v>
      </c>
      <c r="E200" s="71">
        <v>4.15</v>
      </c>
      <c r="F200" s="71">
        <v>19.16</v>
      </c>
      <c r="G200" s="71">
        <v>123.87</v>
      </c>
      <c r="H200" s="81" t="s">
        <v>83</v>
      </c>
    </row>
    <row r="201" spans="1:8" ht="25.5">
      <c r="A201" s="282"/>
      <c r="B201" s="62" t="s">
        <v>221</v>
      </c>
      <c r="C201" s="53">
        <v>180</v>
      </c>
      <c r="D201" s="59">
        <f>0.171*C201/150</f>
        <v>0.20520000000000002</v>
      </c>
      <c r="E201" s="59">
        <f>0.0705*C201/150</f>
        <v>0.0846</v>
      </c>
      <c r="F201" s="59">
        <f>14.8603*C201/150</f>
        <v>17.83236</v>
      </c>
      <c r="G201" s="59">
        <f>60.7*C201/150</f>
        <v>72.84</v>
      </c>
      <c r="H201" s="156" t="s">
        <v>306</v>
      </c>
    </row>
    <row r="202" spans="1:8" ht="15.75">
      <c r="A202" s="282"/>
      <c r="B202" s="99" t="s">
        <v>12</v>
      </c>
      <c r="C202" s="69">
        <v>30</v>
      </c>
      <c r="D202" s="66">
        <f>1.32*C202/20</f>
        <v>1.98</v>
      </c>
      <c r="E202" s="66">
        <f>0.22*C202/20</f>
        <v>0.32999999999999996</v>
      </c>
      <c r="F202" s="66">
        <f>8.2*C202/20</f>
        <v>12.299999999999999</v>
      </c>
      <c r="G202" s="71">
        <f>40*C202/20</f>
        <v>60</v>
      </c>
      <c r="H202" s="156" t="s">
        <v>60</v>
      </c>
    </row>
    <row r="203" spans="1:8" ht="15.75">
      <c r="A203" s="282"/>
      <c r="B203" s="99" t="s">
        <v>41</v>
      </c>
      <c r="C203" s="160">
        <v>30</v>
      </c>
      <c r="D203" s="66">
        <f>2.28*C203/30</f>
        <v>2.28</v>
      </c>
      <c r="E203" s="66">
        <f>0.24*C203/30</f>
        <v>0.23999999999999996</v>
      </c>
      <c r="F203" s="66">
        <f>14.76*C203/30</f>
        <v>14.76</v>
      </c>
      <c r="G203" s="66">
        <f>70.5*C203/30</f>
        <v>70.5</v>
      </c>
      <c r="H203" s="156" t="s">
        <v>59</v>
      </c>
    </row>
    <row r="204" spans="1:8" ht="15.75">
      <c r="A204" s="290" t="s">
        <v>13</v>
      </c>
      <c r="B204" s="290"/>
      <c r="C204" s="65">
        <v>710</v>
      </c>
      <c r="D204" s="77">
        <f>SUM(D197:D203)</f>
        <v>25.344374400000007</v>
      </c>
      <c r="E204" s="77">
        <f>SUM(E197:E203)</f>
        <v>22.32289759999999</v>
      </c>
      <c r="F204" s="77">
        <f>SUM(F197:F203)</f>
        <v>82.74491760000001</v>
      </c>
      <c r="G204" s="77">
        <f>SUM(G197:G203)</f>
        <v>634.1282464000001</v>
      </c>
      <c r="H204" s="156"/>
    </row>
    <row r="205" spans="1:8" ht="51">
      <c r="A205" s="281" t="s">
        <v>149</v>
      </c>
      <c r="B205" s="112" t="s">
        <v>339</v>
      </c>
      <c r="C205" s="81" t="s">
        <v>231</v>
      </c>
      <c r="D205" s="71">
        <v>19.175919999999998</v>
      </c>
      <c r="E205" s="71">
        <v>12.29168</v>
      </c>
      <c r="F205" s="71">
        <v>39.07340000000001</v>
      </c>
      <c r="G205" s="71">
        <v>343</v>
      </c>
      <c r="H205" s="81" t="s">
        <v>69</v>
      </c>
    </row>
    <row r="206" spans="1:8" ht="15.75">
      <c r="A206" s="281"/>
      <c r="B206" s="104" t="s">
        <v>42</v>
      </c>
      <c r="C206" s="69">
        <v>180</v>
      </c>
      <c r="D206" s="86">
        <f>0.75*C206/150</f>
        <v>0.9</v>
      </c>
      <c r="E206" s="86">
        <f>0.15*C206/150</f>
        <v>0.18</v>
      </c>
      <c r="F206" s="86">
        <f>15.15*C206/150</f>
        <v>18.18</v>
      </c>
      <c r="G206" s="86">
        <f>69*C206/150</f>
        <v>82.8</v>
      </c>
      <c r="H206" s="156" t="s">
        <v>55</v>
      </c>
    </row>
    <row r="207" spans="1:8" ht="38.25">
      <c r="A207" s="281"/>
      <c r="B207" s="126" t="s">
        <v>335</v>
      </c>
      <c r="C207" s="69">
        <v>50</v>
      </c>
      <c r="D207" s="86">
        <v>3.3621920000000003</v>
      </c>
      <c r="E207" s="86">
        <v>3.238834133333333</v>
      </c>
      <c r="F207" s="86">
        <v>30.689210066666668</v>
      </c>
      <c r="G207" s="86">
        <v>135</v>
      </c>
      <c r="H207" s="225" t="s">
        <v>65</v>
      </c>
    </row>
    <row r="208" spans="1:8" ht="15.75">
      <c r="A208" s="290" t="s">
        <v>51</v>
      </c>
      <c r="B208" s="290"/>
      <c r="C208" s="65">
        <v>370</v>
      </c>
      <c r="D208" s="77">
        <f>SUM(D205:D207)</f>
        <v>23.438111999999997</v>
      </c>
      <c r="E208" s="77">
        <f>SUM(E205:E207)</f>
        <v>15.710514133333332</v>
      </c>
      <c r="F208" s="77">
        <f>SUM(F205:F207)</f>
        <v>87.94261006666667</v>
      </c>
      <c r="G208" s="77">
        <f>SUM(G205:G207)</f>
        <v>560.8</v>
      </c>
      <c r="H208" s="156"/>
    </row>
    <row r="209" spans="1:8" ht="15.75">
      <c r="A209" s="291" t="s">
        <v>37</v>
      </c>
      <c r="B209" s="291"/>
      <c r="C209" s="173"/>
      <c r="D209" s="80">
        <f>D195+D196+D204+D208</f>
        <v>65.98421973333333</v>
      </c>
      <c r="E209" s="80">
        <f>E195+E196+E204+E208</f>
        <v>55.64167839999999</v>
      </c>
      <c r="F209" s="80">
        <f>F195+F196+F204+F208</f>
        <v>235.26945833333335</v>
      </c>
      <c r="G209" s="80">
        <f>G195+G196+G204+G208</f>
        <v>1633.7530288957266</v>
      </c>
      <c r="H209" s="167"/>
    </row>
    <row r="210" spans="1:8" ht="15.75">
      <c r="A210" s="22"/>
      <c r="B210" s="104"/>
      <c r="C210" s="70"/>
      <c r="D210" s="93"/>
      <c r="E210" s="93"/>
      <c r="F210" s="93"/>
      <c r="G210" s="93"/>
      <c r="H210" s="52"/>
    </row>
    <row r="211" spans="1:8" s="5" customFormat="1" ht="30" customHeight="1">
      <c r="A211" s="307" t="s">
        <v>233</v>
      </c>
      <c r="B211" s="308"/>
      <c r="C211" s="308"/>
      <c r="D211" s="308"/>
      <c r="E211" s="308"/>
      <c r="F211" s="308"/>
      <c r="G211" s="308"/>
      <c r="H211" s="308"/>
    </row>
    <row r="212" spans="1:8" s="5" customFormat="1" ht="25.5">
      <c r="A212" s="87" t="s">
        <v>128</v>
      </c>
      <c r="B212" s="113" t="s">
        <v>129</v>
      </c>
      <c r="C212" s="309" t="s">
        <v>234</v>
      </c>
      <c r="D212" s="309"/>
      <c r="E212" s="309"/>
      <c r="F212" s="309"/>
      <c r="G212" s="309"/>
      <c r="H212" s="309"/>
    </row>
    <row r="213" spans="1:8" s="5" customFormat="1" ht="15.75">
      <c r="A213" s="305" t="s">
        <v>130</v>
      </c>
      <c r="B213" s="306" t="s">
        <v>131</v>
      </c>
      <c r="C213" s="295">
        <v>360</v>
      </c>
      <c r="D213" s="295"/>
      <c r="E213" s="93"/>
      <c r="F213" s="93"/>
      <c r="G213" s="93"/>
      <c r="H213" s="93"/>
    </row>
    <row r="214" spans="1:8" s="5" customFormat="1" ht="15.75">
      <c r="A214" s="305"/>
      <c r="B214" s="306"/>
      <c r="C214" s="294" t="s">
        <v>140</v>
      </c>
      <c r="D214" s="294"/>
      <c r="E214" s="93"/>
      <c r="F214" s="93"/>
      <c r="G214" s="93"/>
      <c r="H214" s="93"/>
    </row>
    <row r="215" spans="1:8" s="5" customFormat="1" ht="15.75">
      <c r="A215" s="305" t="s">
        <v>28</v>
      </c>
      <c r="B215" s="306" t="s">
        <v>133</v>
      </c>
      <c r="C215" s="295">
        <v>90</v>
      </c>
      <c r="D215" s="295"/>
      <c r="E215" s="93"/>
      <c r="F215" s="93"/>
      <c r="G215" s="93"/>
      <c r="H215" s="93"/>
    </row>
    <row r="216" spans="1:8" s="5" customFormat="1" ht="15.75">
      <c r="A216" s="305"/>
      <c r="B216" s="306"/>
      <c r="C216" s="294" t="s">
        <v>141</v>
      </c>
      <c r="D216" s="294"/>
      <c r="E216" s="93"/>
      <c r="F216" s="93"/>
      <c r="G216" s="93"/>
      <c r="H216" s="93"/>
    </row>
    <row r="217" spans="1:8" s="5" customFormat="1" ht="15.75">
      <c r="A217" s="305" t="s">
        <v>11</v>
      </c>
      <c r="B217" s="306" t="s">
        <v>135</v>
      </c>
      <c r="C217" s="295">
        <v>630</v>
      </c>
      <c r="D217" s="295"/>
      <c r="E217" s="93"/>
      <c r="F217" s="93"/>
      <c r="G217" s="93"/>
      <c r="H217" s="93"/>
    </row>
    <row r="218" spans="1:8" s="5" customFormat="1" ht="15.75">
      <c r="A218" s="305"/>
      <c r="B218" s="306"/>
      <c r="C218" s="294" t="s">
        <v>142</v>
      </c>
      <c r="D218" s="294"/>
      <c r="E218" s="93"/>
      <c r="F218" s="93"/>
      <c r="G218" s="93"/>
      <c r="H218" s="93"/>
    </row>
    <row r="219" spans="1:8" s="5" customFormat="1" ht="15.75">
      <c r="A219" s="94"/>
      <c r="B219" s="114"/>
      <c r="C219" s="303">
        <v>540</v>
      </c>
      <c r="D219" s="304"/>
      <c r="E219" s="93"/>
      <c r="F219" s="93"/>
      <c r="G219" s="93"/>
      <c r="H219" s="22"/>
    </row>
    <row r="220" spans="1:8" s="5" customFormat="1" ht="31.5">
      <c r="A220" s="95" t="s">
        <v>149</v>
      </c>
      <c r="B220" s="115" t="s">
        <v>152</v>
      </c>
      <c r="C220" s="296" t="s">
        <v>154</v>
      </c>
      <c r="D220" s="297"/>
      <c r="E220" s="93"/>
      <c r="F220" s="93"/>
      <c r="G220" s="93"/>
      <c r="H220" s="22"/>
    </row>
    <row r="221" spans="1:8" ht="15.75">
      <c r="A221" s="298"/>
      <c r="B221" s="299"/>
      <c r="C221" s="299"/>
      <c r="D221" s="299"/>
      <c r="E221" s="299"/>
      <c r="F221" s="299"/>
      <c r="G221" s="299"/>
      <c r="H221" s="300"/>
    </row>
    <row r="222" spans="1:8" ht="15.75">
      <c r="A222" s="301" t="s">
        <v>137</v>
      </c>
      <c r="B222" s="302"/>
      <c r="C222" s="84"/>
      <c r="D222" s="84">
        <f>(D14+D35+D54+D73+D93+D114+D135+D157+D175+D195)/10</f>
        <v>11.2757557218638</v>
      </c>
      <c r="E222" s="84">
        <f>(E14+E35+E54+E73+E93+E114+E135+E157+E175+E195)/10</f>
        <v>13.097107995746189</v>
      </c>
      <c r="F222" s="84">
        <f>(F14+F35+F54+F73+F93+F114+F135+F157+F175+F195)/10</f>
        <v>53.84083466515026</v>
      </c>
      <c r="G222" s="84">
        <f>(G14+G35+G54+G73+G93+G114+G135+G157+G175+G195)/10</f>
        <v>357.59184259308097</v>
      </c>
      <c r="H222" s="96"/>
    </row>
    <row r="223" spans="1:8" ht="15.75">
      <c r="A223" s="301" t="s">
        <v>138</v>
      </c>
      <c r="B223" s="302"/>
      <c r="C223" s="84"/>
      <c r="D223" s="84">
        <f>(D23+D44+D63+D81+D102+D123+D145+D165+D184+D204)/10</f>
        <v>24.54895146630303</v>
      </c>
      <c r="E223" s="84">
        <f>(E23+E44+E63+E81+E102+E123+E145+E165+E184+E204)/10</f>
        <v>24.097971420969692</v>
      </c>
      <c r="F223" s="84">
        <f>(F23+F44+F63+F81+F102+F123+F145+F165+F184+F204)/10</f>
        <v>84.92305696242423</v>
      </c>
      <c r="G223" s="84">
        <f>(G23+G44+G63+G81+G102+G123+G145+G165+G184+G204)/10</f>
        <v>645.4865270327275</v>
      </c>
      <c r="H223" s="96"/>
    </row>
    <row r="224" spans="1:8" ht="15.75">
      <c r="A224" s="301" t="s">
        <v>151</v>
      </c>
      <c r="B224" s="302"/>
      <c r="C224" s="84"/>
      <c r="D224" s="84">
        <f aca="true" t="shared" si="0" ref="D224:G225">(D29+D48+D67+D87+D106+D129+D151+D169+D189+D208)/10</f>
        <v>23.67200013179487</v>
      </c>
      <c r="E224" s="84">
        <f t="shared" si="0"/>
        <v>19.388042332991454</v>
      </c>
      <c r="F224" s="84">
        <f t="shared" si="0"/>
        <v>66.01595051444446</v>
      </c>
      <c r="G224" s="84">
        <f t="shared" si="0"/>
        <v>529.1693181846153</v>
      </c>
      <c r="H224" s="96"/>
    </row>
    <row r="225" spans="1:8" ht="15.75">
      <c r="A225" s="301" t="s">
        <v>139</v>
      </c>
      <c r="B225" s="302"/>
      <c r="C225" s="84"/>
      <c r="D225" s="84">
        <f t="shared" si="0"/>
        <v>61.134707319961706</v>
      </c>
      <c r="E225" s="84">
        <f t="shared" si="0"/>
        <v>57.77512174970734</v>
      </c>
      <c r="F225" s="84">
        <f t="shared" si="0"/>
        <v>217.42384214201894</v>
      </c>
      <c r="G225" s="84">
        <f t="shared" si="0"/>
        <v>1602.6276878104238</v>
      </c>
      <c r="H225" s="96"/>
    </row>
  </sheetData>
  <sheetProtection/>
  <mergeCells count="108">
    <mergeCell ref="A223:B223"/>
    <mergeCell ref="A224:B224"/>
    <mergeCell ref="A225:B225"/>
    <mergeCell ref="A211:H211"/>
    <mergeCell ref="C212:H212"/>
    <mergeCell ref="A213:A214"/>
    <mergeCell ref="B213:B214"/>
    <mergeCell ref="C213:D213"/>
    <mergeCell ref="A215:A216"/>
    <mergeCell ref="B215:B216"/>
    <mergeCell ref="C220:D220"/>
    <mergeCell ref="A221:H221"/>
    <mergeCell ref="A222:B222"/>
    <mergeCell ref="C216:D216"/>
    <mergeCell ref="C217:D217"/>
    <mergeCell ref="C218:D218"/>
    <mergeCell ref="C219:D219"/>
    <mergeCell ref="A217:A218"/>
    <mergeCell ref="B217:B218"/>
    <mergeCell ref="A209:B209"/>
    <mergeCell ref="C214:D214"/>
    <mergeCell ref="C215:D215"/>
    <mergeCell ref="A192:A194"/>
    <mergeCell ref="A195:B195"/>
    <mergeCell ref="A197:A203"/>
    <mergeCell ref="A204:B204"/>
    <mergeCell ref="A205:A207"/>
    <mergeCell ref="A208:B208"/>
    <mergeCell ref="A177:A183"/>
    <mergeCell ref="A184:B184"/>
    <mergeCell ref="A185:A188"/>
    <mergeCell ref="A189:B189"/>
    <mergeCell ref="A190:B190"/>
    <mergeCell ref="A191:H191"/>
    <mergeCell ref="A166:A168"/>
    <mergeCell ref="A169:B169"/>
    <mergeCell ref="A170:B170"/>
    <mergeCell ref="A171:H171"/>
    <mergeCell ref="A172:A174"/>
    <mergeCell ref="A175:B175"/>
    <mergeCell ref="A151:B151"/>
    <mergeCell ref="A153:H153"/>
    <mergeCell ref="A154:A156"/>
    <mergeCell ref="A157:B157"/>
    <mergeCell ref="A159:A164"/>
    <mergeCell ref="A165:B165"/>
    <mergeCell ref="A131:H131"/>
    <mergeCell ref="A132:A134"/>
    <mergeCell ref="A135:B135"/>
    <mergeCell ref="A138:A144"/>
    <mergeCell ref="A145:B145"/>
    <mergeCell ref="A146:A150"/>
    <mergeCell ref="A111:A113"/>
    <mergeCell ref="A114:B114"/>
    <mergeCell ref="A116:A122"/>
    <mergeCell ref="A123:B123"/>
    <mergeCell ref="A124:A128"/>
    <mergeCell ref="A129:B129"/>
    <mergeCell ref="A102:B102"/>
    <mergeCell ref="A103:A105"/>
    <mergeCell ref="A106:B106"/>
    <mergeCell ref="A108:C108"/>
    <mergeCell ref="A109:H109"/>
    <mergeCell ref="A110:H110"/>
    <mergeCell ref="A87:B87"/>
    <mergeCell ref="A88:B88"/>
    <mergeCell ref="A89:H89"/>
    <mergeCell ref="A90:A92"/>
    <mergeCell ref="A93:B93"/>
    <mergeCell ref="A95:A101"/>
    <mergeCell ref="A69:H69"/>
    <mergeCell ref="A70:A72"/>
    <mergeCell ref="A73:B73"/>
    <mergeCell ref="A75:A80"/>
    <mergeCell ref="A81:B81"/>
    <mergeCell ref="A82:A86"/>
    <mergeCell ref="A51:A53"/>
    <mergeCell ref="A54:B54"/>
    <mergeCell ref="A56:A62"/>
    <mergeCell ref="A63:B63"/>
    <mergeCell ref="A64:A66"/>
    <mergeCell ref="A67:B67"/>
    <mergeCell ref="A37:A43"/>
    <mergeCell ref="A44:B44"/>
    <mergeCell ref="A45:A47"/>
    <mergeCell ref="A48:B48"/>
    <mergeCell ref="A49:B49"/>
    <mergeCell ref="A50:H50"/>
    <mergeCell ref="A24:A28"/>
    <mergeCell ref="A29:B29"/>
    <mergeCell ref="A30:B30"/>
    <mergeCell ref="A31:H31"/>
    <mergeCell ref="A32:A34"/>
    <mergeCell ref="A35:B35"/>
    <mergeCell ref="A9:H9"/>
    <mergeCell ref="A10:H10"/>
    <mergeCell ref="A11:A13"/>
    <mergeCell ref="A14:B14"/>
    <mergeCell ref="A16:A22"/>
    <mergeCell ref="A23:B23"/>
    <mergeCell ref="G2:H2"/>
    <mergeCell ref="A5:H5"/>
    <mergeCell ref="A6:B6"/>
    <mergeCell ref="A7:A8"/>
    <mergeCell ref="B7:B8"/>
    <mergeCell ref="C7:C8"/>
    <mergeCell ref="D7:F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4">
      <selection activeCell="G14" sqref="G14"/>
    </sheetView>
  </sheetViews>
  <sheetFormatPr defaultColWidth="9.140625" defaultRowHeight="15"/>
  <cols>
    <col min="2" max="2" width="33.7109375" style="38" customWidth="1"/>
    <col min="3" max="3" width="13.57421875" style="0" customWidth="1"/>
    <col min="13" max="13" width="8.8515625" style="42" customWidth="1"/>
    <col min="14" max="14" width="18.7109375" style="40" customWidth="1"/>
    <col min="15" max="15" width="17.8515625" style="45" customWidth="1"/>
  </cols>
  <sheetData>
    <row r="1" spans="1:14" ht="15.75">
      <c r="A1" s="23" t="s">
        <v>127</v>
      </c>
      <c r="B1" s="37"/>
      <c r="C1" s="24"/>
      <c r="D1" s="24"/>
      <c r="E1" s="24"/>
      <c r="N1" s="39"/>
    </row>
    <row r="2" spans="1:14" ht="15">
      <c r="A2" s="24" t="s">
        <v>148</v>
      </c>
      <c r="B2" s="37"/>
      <c r="C2" s="24"/>
      <c r="D2" s="24"/>
      <c r="E2" s="24"/>
      <c r="N2" s="39"/>
    </row>
    <row r="3" spans="1:14" ht="15.75">
      <c r="A3" s="23" t="s">
        <v>84</v>
      </c>
      <c r="B3" s="37"/>
      <c r="C3" s="24"/>
      <c r="D3" s="24"/>
      <c r="E3" s="24"/>
      <c r="N3" s="39"/>
    </row>
    <row r="4" spans="1:15" ht="15" customHeight="1">
      <c r="A4" s="310" t="s">
        <v>85</v>
      </c>
      <c r="B4" s="311" t="s">
        <v>86</v>
      </c>
      <c r="C4" s="310" t="s">
        <v>344</v>
      </c>
      <c r="D4" s="315" t="s">
        <v>87</v>
      </c>
      <c r="E4" s="316"/>
      <c r="F4" s="316"/>
      <c r="G4" s="316"/>
      <c r="H4" s="316"/>
      <c r="I4" s="316"/>
      <c r="J4" s="316"/>
      <c r="K4" s="316"/>
      <c r="L4" s="316"/>
      <c r="M4" s="316"/>
      <c r="N4" s="313" t="s">
        <v>343</v>
      </c>
      <c r="O4" s="314" t="s">
        <v>88</v>
      </c>
    </row>
    <row r="5" spans="1:15" ht="15.75">
      <c r="A5" s="310"/>
      <c r="B5" s="312"/>
      <c r="C5" s="310"/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43">
        <v>10</v>
      </c>
      <c r="N5" s="313"/>
      <c r="O5" s="314"/>
    </row>
    <row r="6" spans="1:15" ht="47.25">
      <c r="A6" s="26">
        <v>1</v>
      </c>
      <c r="B6" s="27" t="s">
        <v>345</v>
      </c>
      <c r="C6" s="28">
        <v>351</v>
      </c>
      <c r="D6" s="29">
        <v>290.5</v>
      </c>
      <c r="E6" s="30">
        <v>281.8</v>
      </c>
      <c r="F6" s="30">
        <v>303.1</v>
      </c>
      <c r="G6" s="30">
        <v>330</v>
      </c>
      <c r="H6" s="30">
        <v>388.5</v>
      </c>
      <c r="I6" s="30">
        <v>232.9</v>
      </c>
      <c r="J6" s="30">
        <v>272.5</v>
      </c>
      <c r="K6" s="30">
        <v>245</v>
      </c>
      <c r="L6" s="30">
        <v>271</v>
      </c>
      <c r="M6" s="30">
        <v>325</v>
      </c>
      <c r="N6" s="41">
        <f>SUM(D6:M6)/10</f>
        <v>294.03000000000003</v>
      </c>
      <c r="O6" s="46">
        <f aca="true" t="shared" si="0" ref="O6:O19">N6*100/C6-100</f>
        <v>-16.230769230769226</v>
      </c>
    </row>
    <row r="7" spans="1:15" s="42" customFormat="1" ht="15.75">
      <c r="A7" s="26">
        <v>2</v>
      </c>
      <c r="B7" s="27" t="s">
        <v>89</v>
      </c>
      <c r="C7" s="28">
        <v>27</v>
      </c>
      <c r="D7" s="29">
        <v>0</v>
      </c>
      <c r="E7" s="30">
        <v>0</v>
      </c>
      <c r="F7" s="30">
        <v>72</v>
      </c>
      <c r="G7" s="30">
        <v>0</v>
      </c>
      <c r="H7" s="30">
        <v>74.6</v>
      </c>
      <c r="I7" s="30">
        <v>0</v>
      </c>
      <c r="J7" s="30">
        <v>0</v>
      </c>
      <c r="K7" s="30">
        <v>72</v>
      </c>
      <c r="L7" s="30">
        <v>0</v>
      </c>
      <c r="M7" s="30">
        <v>60</v>
      </c>
      <c r="N7" s="41">
        <f aca="true" t="shared" si="1" ref="N7:N35">SUM(D7:M7)/10</f>
        <v>27.860000000000003</v>
      </c>
      <c r="O7" s="46">
        <f t="shared" si="0"/>
        <v>3.1851851851852047</v>
      </c>
    </row>
    <row r="8" spans="1:15" ht="15.75">
      <c r="A8" s="26">
        <v>3</v>
      </c>
      <c r="B8" s="27" t="s">
        <v>90</v>
      </c>
      <c r="C8" s="28">
        <v>8.1</v>
      </c>
      <c r="D8" s="29">
        <v>10</v>
      </c>
      <c r="E8" s="30">
        <v>0</v>
      </c>
      <c r="F8" s="30">
        <v>10</v>
      </c>
      <c r="G8" s="30">
        <v>6.2</v>
      </c>
      <c r="H8" s="30">
        <v>12.6</v>
      </c>
      <c r="I8" s="30">
        <v>0</v>
      </c>
      <c r="J8" s="30">
        <v>23.1</v>
      </c>
      <c r="K8" s="30">
        <v>0</v>
      </c>
      <c r="L8" s="30">
        <v>10</v>
      </c>
      <c r="M8" s="30">
        <v>3.2</v>
      </c>
      <c r="N8" s="41">
        <f t="shared" si="1"/>
        <v>7.510000000000001</v>
      </c>
      <c r="O8" s="46">
        <f t="shared" si="0"/>
        <v>-7.283950617283935</v>
      </c>
    </row>
    <row r="9" spans="1:15" ht="15.75">
      <c r="A9" s="26">
        <v>4</v>
      </c>
      <c r="B9" s="27" t="s">
        <v>91</v>
      </c>
      <c r="C9" s="28">
        <v>3.6</v>
      </c>
      <c r="D9" s="29">
        <v>0</v>
      </c>
      <c r="E9" s="30">
        <v>10</v>
      </c>
      <c r="F9" s="30">
        <v>10</v>
      </c>
      <c r="G9" s="30">
        <v>0</v>
      </c>
      <c r="H9" s="30">
        <v>0</v>
      </c>
      <c r="I9" s="30">
        <v>5</v>
      </c>
      <c r="J9" s="30">
        <v>0</v>
      </c>
      <c r="K9" s="30">
        <v>10</v>
      </c>
      <c r="L9" s="30">
        <v>0</v>
      </c>
      <c r="M9" s="30">
        <v>0</v>
      </c>
      <c r="N9" s="41">
        <f t="shared" si="1"/>
        <v>3.5</v>
      </c>
      <c r="O9" s="46">
        <f t="shared" si="0"/>
        <v>-2.7777777777777857</v>
      </c>
    </row>
    <row r="10" spans="1:15" ht="15.75">
      <c r="A10" s="26">
        <v>5</v>
      </c>
      <c r="B10" s="27" t="s">
        <v>145</v>
      </c>
      <c r="C10" s="28">
        <v>45</v>
      </c>
      <c r="D10" s="29">
        <v>53.3</v>
      </c>
      <c r="E10" s="30">
        <v>35</v>
      </c>
      <c r="F10" s="30">
        <v>16</v>
      </c>
      <c r="G10" s="30">
        <v>96.3</v>
      </c>
      <c r="H10" s="30">
        <v>59</v>
      </c>
      <c r="I10" s="30">
        <v>43</v>
      </c>
      <c r="J10" s="30">
        <v>16</v>
      </c>
      <c r="K10" s="30">
        <v>47.3</v>
      </c>
      <c r="L10" s="30">
        <v>95.8</v>
      </c>
      <c r="M10" s="30">
        <v>64.5</v>
      </c>
      <c r="N10" s="41">
        <f t="shared" si="1"/>
        <v>52.620000000000005</v>
      </c>
      <c r="O10" s="46">
        <f t="shared" si="0"/>
        <v>16.933333333333337</v>
      </c>
    </row>
    <row r="11" spans="1:15" ht="47.25">
      <c r="A11" s="26">
        <v>6</v>
      </c>
      <c r="B11" s="27" t="s">
        <v>92</v>
      </c>
      <c r="C11" s="28">
        <v>18</v>
      </c>
      <c r="D11" s="29">
        <v>48.6</v>
      </c>
      <c r="E11" s="30">
        <v>0</v>
      </c>
      <c r="F11" s="30">
        <v>71.4</v>
      </c>
      <c r="G11" s="30">
        <v>0</v>
      </c>
      <c r="H11" s="30">
        <v>0</v>
      </c>
      <c r="I11" s="30">
        <v>13.6</v>
      </c>
      <c r="J11" s="30">
        <v>0</v>
      </c>
      <c r="K11" s="30">
        <v>0</v>
      </c>
      <c r="L11" s="30">
        <v>0</v>
      </c>
      <c r="M11" s="30">
        <v>16</v>
      </c>
      <c r="N11" s="41">
        <f t="shared" si="1"/>
        <v>14.959999999999999</v>
      </c>
      <c r="O11" s="46">
        <f t="shared" si="0"/>
        <v>-16.888888888888886</v>
      </c>
    </row>
    <row r="12" spans="1:15" ht="31.5">
      <c r="A12" s="26">
        <v>7</v>
      </c>
      <c r="B12" s="27" t="s">
        <v>93</v>
      </c>
      <c r="C12" s="28">
        <v>18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35.5</v>
      </c>
      <c r="K12" s="30">
        <v>0</v>
      </c>
      <c r="L12" s="30">
        <v>0</v>
      </c>
      <c r="M12" s="30">
        <v>0</v>
      </c>
      <c r="N12" s="41">
        <f t="shared" si="1"/>
        <v>3.55</v>
      </c>
      <c r="O12" s="46">
        <f t="shared" si="0"/>
        <v>-80.27777777777777</v>
      </c>
    </row>
    <row r="13" spans="1:15" ht="31.5">
      <c r="A13" s="26">
        <v>8</v>
      </c>
      <c r="B13" s="27" t="s">
        <v>146</v>
      </c>
      <c r="C13" s="28">
        <v>28.8</v>
      </c>
      <c r="D13" s="29">
        <v>0</v>
      </c>
      <c r="E13" s="30">
        <v>13.1</v>
      </c>
      <c r="F13" s="30">
        <v>0</v>
      </c>
      <c r="G13" s="30">
        <v>64.7</v>
      </c>
      <c r="H13" s="30">
        <v>0</v>
      </c>
      <c r="I13" s="30">
        <v>0</v>
      </c>
      <c r="J13" s="30">
        <v>37.5</v>
      </c>
      <c r="K13" s="30">
        <v>18.8</v>
      </c>
      <c r="L13" s="30">
        <v>0</v>
      </c>
      <c r="M13" s="30">
        <v>0</v>
      </c>
      <c r="N13" s="41">
        <f t="shared" si="1"/>
        <v>13.41</v>
      </c>
      <c r="O13" s="46">
        <f t="shared" si="0"/>
        <v>-53.4375</v>
      </c>
    </row>
    <row r="14" spans="1:15" ht="15.75">
      <c r="A14" s="26">
        <v>9</v>
      </c>
      <c r="B14" s="27" t="s">
        <v>147</v>
      </c>
      <c r="C14" s="28">
        <v>36</v>
      </c>
      <c r="D14" s="29">
        <v>8.9</v>
      </c>
      <c r="E14" s="30">
        <v>2.7</v>
      </c>
      <c r="F14" s="30">
        <v>13.2</v>
      </c>
      <c r="G14" s="30">
        <v>0</v>
      </c>
      <c r="H14" s="30">
        <v>12</v>
      </c>
      <c r="I14" s="30">
        <v>105</v>
      </c>
      <c r="J14" s="30">
        <v>0</v>
      </c>
      <c r="K14" s="30">
        <v>14.2</v>
      </c>
      <c r="L14" s="30">
        <v>40</v>
      </c>
      <c r="M14" s="30">
        <v>16.2</v>
      </c>
      <c r="N14" s="41">
        <f t="shared" si="1"/>
        <v>21.22</v>
      </c>
      <c r="O14" s="46">
        <f t="shared" si="0"/>
        <v>-41.05555555555556</v>
      </c>
    </row>
    <row r="15" spans="1:15" ht="15.75">
      <c r="A15" s="26">
        <v>10</v>
      </c>
      <c r="B15" s="27" t="s">
        <v>94</v>
      </c>
      <c r="C15" s="28">
        <v>108</v>
      </c>
      <c r="D15" s="29">
        <v>183.3</v>
      </c>
      <c r="E15" s="30">
        <v>45</v>
      </c>
      <c r="F15" s="30">
        <v>112</v>
      </c>
      <c r="G15" s="30">
        <v>238.7</v>
      </c>
      <c r="H15" s="30">
        <v>12</v>
      </c>
      <c r="I15" s="30">
        <v>109</v>
      </c>
      <c r="J15" s="30">
        <v>91.8</v>
      </c>
      <c r="K15" s="30">
        <v>60</v>
      </c>
      <c r="L15" s="30">
        <v>109</v>
      </c>
      <c r="M15" s="30">
        <v>138.9</v>
      </c>
      <c r="N15" s="41">
        <f t="shared" si="1"/>
        <v>109.97</v>
      </c>
      <c r="O15" s="46">
        <f t="shared" si="0"/>
        <v>1.8240740740740762</v>
      </c>
    </row>
    <row r="16" spans="1:15" ht="110.25">
      <c r="A16" s="26">
        <v>11</v>
      </c>
      <c r="B16" s="27" t="s">
        <v>95</v>
      </c>
      <c r="C16" s="28">
        <v>162</v>
      </c>
      <c r="D16" s="29">
        <v>67.7</v>
      </c>
      <c r="E16" s="30">
        <v>58.7</v>
      </c>
      <c r="F16" s="30">
        <v>145.1</v>
      </c>
      <c r="G16" s="30">
        <v>156.7</v>
      </c>
      <c r="H16" s="30">
        <v>182.8</v>
      </c>
      <c r="I16" s="30">
        <v>173.2</v>
      </c>
      <c r="J16" s="30">
        <v>153.2</v>
      </c>
      <c r="K16" s="30">
        <v>117.7</v>
      </c>
      <c r="L16" s="30">
        <v>207</v>
      </c>
      <c r="M16" s="30">
        <v>163.2</v>
      </c>
      <c r="N16" s="41">
        <f t="shared" si="1"/>
        <v>142.53000000000003</v>
      </c>
      <c r="O16" s="46">
        <f t="shared" si="0"/>
        <v>-12.01851851851849</v>
      </c>
    </row>
    <row r="17" spans="1:15" ht="15.75">
      <c r="A17" s="26">
        <v>12</v>
      </c>
      <c r="B17" s="27" t="s">
        <v>96</v>
      </c>
      <c r="C17" s="28">
        <v>85.5</v>
      </c>
      <c r="D17" s="29">
        <v>30</v>
      </c>
      <c r="E17" s="30">
        <v>118.7</v>
      </c>
      <c r="F17" s="30">
        <v>100</v>
      </c>
      <c r="G17" s="30">
        <v>105</v>
      </c>
      <c r="H17" s="30">
        <v>18.7</v>
      </c>
      <c r="I17" s="30">
        <v>15.9</v>
      </c>
      <c r="J17" s="30">
        <v>0</v>
      </c>
      <c r="K17" s="30">
        <v>130</v>
      </c>
      <c r="L17" s="30">
        <v>100</v>
      </c>
      <c r="M17" s="30">
        <v>18.7</v>
      </c>
      <c r="N17" s="41">
        <f t="shared" si="1"/>
        <v>63.7</v>
      </c>
      <c r="O17" s="46">
        <f t="shared" si="0"/>
        <v>-25.497076023391813</v>
      </c>
    </row>
    <row r="18" spans="1:15" ht="15.75">
      <c r="A18" s="26">
        <v>13</v>
      </c>
      <c r="B18" s="27" t="s">
        <v>97</v>
      </c>
      <c r="C18" s="28">
        <v>8.1</v>
      </c>
      <c r="D18" s="29">
        <v>0</v>
      </c>
      <c r="E18" s="30">
        <v>0</v>
      </c>
      <c r="F18" s="30">
        <v>15</v>
      </c>
      <c r="G18" s="30">
        <v>15</v>
      </c>
      <c r="H18" s="30">
        <v>0</v>
      </c>
      <c r="I18" s="30">
        <v>15</v>
      </c>
      <c r="J18" s="30">
        <v>15</v>
      </c>
      <c r="K18" s="30">
        <v>0</v>
      </c>
      <c r="L18" s="30">
        <v>15</v>
      </c>
      <c r="M18" s="30">
        <v>0</v>
      </c>
      <c r="N18" s="41">
        <f t="shared" si="1"/>
        <v>7.5</v>
      </c>
      <c r="O18" s="46">
        <f t="shared" si="0"/>
        <v>-7.407407407407405</v>
      </c>
    </row>
    <row r="19" spans="1:15" ht="15.75">
      <c r="A19" s="26">
        <v>14</v>
      </c>
      <c r="B19" s="27" t="s">
        <v>98</v>
      </c>
      <c r="C19" s="28">
        <v>90</v>
      </c>
      <c r="D19" s="29">
        <v>150</v>
      </c>
      <c r="E19" s="30">
        <v>150</v>
      </c>
      <c r="F19" s="30">
        <v>0</v>
      </c>
      <c r="G19" s="30">
        <v>0</v>
      </c>
      <c r="H19" s="30">
        <v>150</v>
      </c>
      <c r="I19" s="30">
        <v>150</v>
      </c>
      <c r="J19" s="30">
        <v>150</v>
      </c>
      <c r="K19" s="30">
        <v>0</v>
      </c>
      <c r="L19" s="30">
        <v>0</v>
      </c>
      <c r="M19" s="30">
        <v>150</v>
      </c>
      <c r="N19" s="41">
        <f t="shared" si="1"/>
        <v>90</v>
      </c>
      <c r="O19" s="46">
        <f t="shared" si="0"/>
        <v>0</v>
      </c>
    </row>
    <row r="20" spans="1:15" ht="15.75">
      <c r="A20" s="26">
        <v>15</v>
      </c>
      <c r="B20" s="27" t="s">
        <v>99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41">
        <f t="shared" si="1"/>
        <v>0</v>
      </c>
      <c r="O20" s="46">
        <v>0</v>
      </c>
    </row>
    <row r="21" spans="1:15" ht="15.75">
      <c r="A21" s="26">
        <v>16</v>
      </c>
      <c r="B21" s="27" t="s">
        <v>12</v>
      </c>
      <c r="C21" s="28">
        <v>36</v>
      </c>
      <c r="D21" s="29">
        <v>35</v>
      </c>
      <c r="E21" s="30">
        <v>20</v>
      </c>
      <c r="F21" s="30">
        <v>40</v>
      </c>
      <c r="G21" s="30">
        <v>40</v>
      </c>
      <c r="H21" s="30">
        <v>20</v>
      </c>
      <c r="I21" s="30">
        <v>40</v>
      </c>
      <c r="J21" s="30">
        <v>40</v>
      </c>
      <c r="K21" s="30">
        <v>40</v>
      </c>
      <c r="L21" s="30">
        <v>40</v>
      </c>
      <c r="M21" s="30">
        <v>20</v>
      </c>
      <c r="N21" s="41">
        <f t="shared" si="1"/>
        <v>33.5</v>
      </c>
      <c r="O21" s="46">
        <f aca="true" t="shared" si="2" ref="O21:O35">N21*100/C21-100</f>
        <v>-6.944444444444443</v>
      </c>
    </row>
    <row r="22" spans="1:15" ht="15.75">
      <c r="A22" s="26">
        <v>17</v>
      </c>
      <c r="B22" s="27" t="s">
        <v>41</v>
      </c>
      <c r="C22" s="28">
        <v>54</v>
      </c>
      <c r="D22" s="29">
        <v>55</v>
      </c>
      <c r="E22" s="30">
        <v>46</v>
      </c>
      <c r="F22" s="30">
        <v>40</v>
      </c>
      <c r="G22" s="30">
        <v>60</v>
      </c>
      <c r="H22" s="30">
        <v>50</v>
      </c>
      <c r="I22" s="30">
        <v>50</v>
      </c>
      <c r="J22" s="30">
        <v>50</v>
      </c>
      <c r="K22" s="30">
        <v>40</v>
      </c>
      <c r="L22" s="30">
        <v>76</v>
      </c>
      <c r="M22" s="30">
        <v>50</v>
      </c>
      <c r="N22" s="41">
        <f t="shared" si="1"/>
        <v>51.7</v>
      </c>
      <c r="O22" s="46">
        <f t="shared" si="2"/>
        <v>-4.259259259259252</v>
      </c>
    </row>
    <row r="23" spans="1:15" ht="15.75">
      <c r="A23" s="26">
        <v>18</v>
      </c>
      <c r="B23" s="27" t="s">
        <v>100</v>
      </c>
      <c r="C23" s="28">
        <v>27</v>
      </c>
      <c r="D23" s="29">
        <v>59.1</v>
      </c>
      <c r="E23" s="30">
        <v>58.2</v>
      </c>
      <c r="F23" s="30">
        <v>29.4</v>
      </c>
      <c r="G23" s="30">
        <v>28</v>
      </c>
      <c r="H23" s="30">
        <v>12.6</v>
      </c>
      <c r="I23" s="30">
        <v>25.4</v>
      </c>
      <c r="J23" s="30">
        <v>27.1</v>
      </c>
      <c r="K23" s="30">
        <v>39.9</v>
      </c>
      <c r="L23" s="30">
        <v>8.3</v>
      </c>
      <c r="M23" s="30">
        <v>26.4</v>
      </c>
      <c r="N23" s="41">
        <f t="shared" si="1"/>
        <v>31.439999999999998</v>
      </c>
      <c r="O23" s="46">
        <f t="shared" si="2"/>
        <v>16.444444444444443</v>
      </c>
    </row>
    <row r="24" spans="1:15" ht="15.75">
      <c r="A24" s="26">
        <v>19</v>
      </c>
      <c r="B24" s="27" t="s">
        <v>101</v>
      </c>
      <c r="C24" s="28">
        <v>7.2</v>
      </c>
      <c r="D24" s="29">
        <v>0</v>
      </c>
      <c r="E24" s="30">
        <v>0</v>
      </c>
      <c r="F24" s="30">
        <v>0</v>
      </c>
      <c r="G24" s="30">
        <v>6</v>
      </c>
      <c r="H24" s="30">
        <v>38.5</v>
      </c>
      <c r="I24" s="30">
        <v>0</v>
      </c>
      <c r="J24" s="30">
        <v>0</v>
      </c>
      <c r="K24" s="30">
        <v>0</v>
      </c>
      <c r="L24" s="30">
        <v>10.8</v>
      </c>
      <c r="M24" s="30">
        <v>0</v>
      </c>
      <c r="N24" s="41">
        <f t="shared" si="1"/>
        <v>5.529999999999999</v>
      </c>
      <c r="O24" s="46">
        <f t="shared" si="2"/>
        <v>-23.194444444444457</v>
      </c>
    </row>
    <row r="25" spans="1:15" ht="15.75">
      <c r="A25" s="26">
        <v>20</v>
      </c>
      <c r="B25" s="27" t="s">
        <v>102</v>
      </c>
      <c r="C25" s="28">
        <v>22.5</v>
      </c>
      <c r="D25" s="29">
        <v>1.8</v>
      </c>
      <c r="E25" s="30">
        <v>66.7</v>
      </c>
      <c r="F25" s="30">
        <v>10.4</v>
      </c>
      <c r="G25" s="30">
        <v>1.8</v>
      </c>
      <c r="H25" s="30">
        <v>63.3</v>
      </c>
      <c r="I25" s="30">
        <v>0</v>
      </c>
      <c r="J25" s="30">
        <v>5.4</v>
      </c>
      <c r="K25" s="30">
        <v>15.4</v>
      </c>
      <c r="L25" s="30">
        <v>0</v>
      </c>
      <c r="M25" s="30">
        <v>47.3</v>
      </c>
      <c r="N25" s="41">
        <f t="shared" si="1"/>
        <v>21.21</v>
      </c>
      <c r="O25" s="46">
        <f t="shared" si="2"/>
        <v>-5.733333333333334</v>
      </c>
    </row>
    <row r="26" spans="1:15" ht="15.75">
      <c r="A26" s="26">
        <v>21</v>
      </c>
      <c r="B26" s="27" t="s">
        <v>103</v>
      </c>
      <c r="C26" s="28">
        <v>16.2</v>
      </c>
      <c r="D26" s="29">
        <v>20.9</v>
      </c>
      <c r="E26" s="30">
        <v>11.4</v>
      </c>
      <c r="F26" s="30">
        <v>18.8</v>
      </c>
      <c r="G26" s="30">
        <v>11.5</v>
      </c>
      <c r="H26" s="30">
        <v>19.1</v>
      </c>
      <c r="I26" s="30">
        <v>21.3</v>
      </c>
      <c r="J26" s="30">
        <v>14.3</v>
      </c>
      <c r="K26" s="30">
        <v>5</v>
      </c>
      <c r="L26" s="30">
        <v>13.1</v>
      </c>
      <c r="M26" s="30">
        <v>19.1</v>
      </c>
      <c r="N26" s="41">
        <f t="shared" si="1"/>
        <v>15.449999999999998</v>
      </c>
      <c r="O26" s="46">
        <f t="shared" si="2"/>
        <v>-4.629629629629633</v>
      </c>
    </row>
    <row r="27" spans="1:15" ht="15.75">
      <c r="A27" s="26">
        <v>22</v>
      </c>
      <c r="B27" s="27" t="s">
        <v>104</v>
      </c>
      <c r="C27" s="28">
        <v>8.1</v>
      </c>
      <c r="D27" s="29">
        <v>4.5</v>
      </c>
      <c r="E27" s="30">
        <v>5.9</v>
      </c>
      <c r="F27" s="30">
        <v>8.4</v>
      </c>
      <c r="G27" s="30">
        <v>9.4</v>
      </c>
      <c r="H27" s="30">
        <v>10.7</v>
      </c>
      <c r="I27" s="30">
        <v>4.5</v>
      </c>
      <c r="J27" s="30">
        <v>14.8</v>
      </c>
      <c r="K27" s="30">
        <v>8.9</v>
      </c>
      <c r="L27" s="30">
        <v>7.5</v>
      </c>
      <c r="M27" s="30">
        <v>5.3</v>
      </c>
      <c r="N27" s="41">
        <f t="shared" si="1"/>
        <v>7.99</v>
      </c>
      <c r="O27" s="46">
        <f t="shared" si="2"/>
        <v>-1.3580246913580254</v>
      </c>
    </row>
    <row r="28" spans="1:15" ht="15.75">
      <c r="A28" s="26">
        <v>23</v>
      </c>
      <c r="B28" s="27" t="s">
        <v>105</v>
      </c>
      <c r="C28" s="28">
        <v>10.8</v>
      </c>
      <c r="D28" s="29">
        <v>11</v>
      </c>
      <c r="E28" s="29">
        <v>0</v>
      </c>
      <c r="F28" s="29">
        <v>20</v>
      </c>
      <c r="G28" s="29">
        <v>0</v>
      </c>
      <c r="H28" s="29">
        <v>30</v>
      </c>
      <c r="I28" s="29">
        <v>11</v>
      </c>
      <c r="J28" s="29">
        <v>0</v>
      </c>
      <c r="K28" s="29">
        <v>31</v>
      </c>
      <c r="L28" s="29">
        <v>0</v>
      </c>
      <c r="M28" s="29">
        <v>0</v>
      </c>
      <c r="N28" s="41">
        <f t="shared" si="1"/>
        <v>10.3</v>
      </c>
      <c r="O28" s="46">
        <f t="shared" si="2"/>
        <v>-4.629629629629633</v>
      </c>
    </row>
    <row r="29" spans="1:15" ht="15.75">
      <c r="A29" s="26">
        <v>24</v>
      </c>
      <c r="B29" s="27" t="s">
        <v>106</v>
      </c>
      <c r="C29" s="28">
        <v>0.45</v>
      </c>
      <c r="D29" s="29">
        <v>0</v>
      </c>
      <c r="E29" s="30">
        <v>0.6</v>
      </c>
      <c r="F29" s="30">
        <v>0.6</v>
      </c>
      <c r="G29" s="30">
        <v>0.6</v>
      </c>
      <c r="H29" s="30">
        <v>0</v>
      </c>
      <c r="I29" s="30">
        <v>0.6</v>
      </c>
      <c r="J29" s="30">
        <v>0.6</v>
      </c>
      <c r="K29" s="30">
        <v>0.6</v>
      </c>
      <c r="L29" s="30">
        <v>0.6</v>
      </c>
      <c r="M29" s="30">
        <v>0</v>
      </c>
      <c r="N29" s="41">
        <f t="shared" si="1"/>
        <v>0.42000000000000004</v>
      </c>
      <c r="O29" s="46">
        <f t="shared" si="2"/>
        <v>-6.666666666666657</v>
      </c>
    </row>
    <row r="30" spans="1:15" ht="15.75">
      <c r="A30" s="26">
        <v>25</v>
      </c>
      <c r="B30" s="27" t="s">
        <v>107</v>
      </c>
      <c r="C30" s="28">
        <v>0.45</v>
      </c>
      <c r="D30" s="29">
        <v>0</v>
      </c>
      <c r="E30" s="30">
        <v>1.2</v>
      </c>
      <c r="F30" s="30">
        <v>0</v>
      </c>
      <c r="G30" s="30">
        <v>0</v>
      </c>
      <c r="H30" s="30">
        <v>1.2</v>
      </c>
      <c r="I30" s="30">
        <v>1.2</v>
      </c>
      <c r="J30" s="30">
        <v>0</v>
      </c>
      <c r="K30" s="30">
        <v>0</v>
      </c>
      <c r="L30" s="30">
        <v>0</v>
      </c>
      <c r="M30" s="30">
        <v>1.2</v>
      </c>
      <c r="N30" s="41">
        <f t="shared" si="1"/>
        <v>0.48</v>
      </c>
      <c r="O30" s="46">
        <f t="shared" si="2"/>
        <v>6.666666666666657</v>
      </c>
    </row>
    <row r="31" spans="1:15" ht="15.75">
      <c r="A31" s="26">
        <v>26</v>
      </c>
      <c r="B31" s="27" t="s">
        <v>108</v>
      </c>
      <c r="C31" s="28">
        <v>0.9</v>
      </c>
      <c r="D31" s="29">
        <v>2.8</v>
      </c>
      <c r="E31" s="30">
        <v>0</v>
      </c>
      <c r="F31" s="30">
        <v>0</v>
      </c>
      <c r="G31" s="30">
        <v>2.8</v>
      </c>
      <c r="H31" s="30">
        <v>0</v>
      </c>
      <c r="I31" s="30">
        <v>0</v>
      </c>
      <c r="J31" s="30">
        <v>0</v>
      </c>
      <c r="K31" s="30">
        <v>0</v>
      </c>
      <c r="L31" s="30">
        <v>2.8</v>
      </c>
      <c r="M31" s="30">
        <v>0</v>
      </c>
      <c r="N31" s="41">
        <f t="shared" si="1"/>
        <v>0.8399999999999999</v>
      </c>
      <c r="O31" s="46">
        <f t="shared" si="2"/>
        <v>-6.666666666666686</v>
      </c>
    </row>
    <row r="32" spans="1:15" ht="141" customHeight="1">
      <c r="A32" s="26">
        <v>27</v>
      </c>
      <c r="B32" s="27" t="s">
        <v>109</v>
      </c>
      <c r="C32" s="28">
        <v>22.5</v>
      </c>
      <c r="D32" s="26">
        <v>23.5</v>
      </c>
      <c r="E32" s="31">
        <v>34.7</v>
      </c>
      <c r="F32" s="31">
        <v>24.8</v>
      </c>
      <c r="G32" s="31">
        <v>23.9</v>
      </c>
      <c r="H32" s="31">
        <v>20.5</v>
      </c>
      <c r="I32" s="31">
        <v>23.7</v>
      </c>
      <c r="J32" s="31">
        <v>26.2</v>
      </c>
      <c r="K32" s="31">
        <v>25.7</v>
      </c>
      <c r="L32" s="31">
        <v>17.2</v>
      </c>
      <c r="M32" s="31">
        <v>24.1</v>
      </c>
      <c r="N32" s="41">
        <f t="shared" si="1"/>
        <v>24.429999999999996</v>
      </c>
      <c r="O32" s="46">
        <f t="shared" si="2"/>
        <v>8.577777777777754</v>
      </c>
    </row>
    <row r="33" spans="1:15" ht="15.75">
      <c r="A33" s="32">
        <v>28</v>
      </c>
      <c r="B33" s="33" t="s">
        <v>110</v>
      </c>
      <c r="C33" s="34">
        <v>0.36</v>
      </c>
      <c r="D33" s="35">
        <v>0</v>
      </c>
      <c r="E33" s="36">
        <v>1.5</v>
      </c>
      <c r="F33" s="36">
        <v>0</v>
      </c>
      <c r="G33" s="36">
        <v>0</v>
      </c>
      <c r="H33" s="36">
        <v>1.3</v>
      </c>
      <c r="I33" s="36">
        <v>0</v>
      </c>
      <c r="J33" s="36">
        <v>0</v>
      </c>
      <c r="K33" s="36">
        <v>0</v>
      </c>
      <c r="L33" s="36">
        <v>0</v>
      </c>
      <c r="M33" s="30">
        <v>0.9</v>
      </c>
      <c r="N33" s="41">
        <f t="shared" si="1"/>
        <v>0.37</v>
      </c>
      <c r="O33" s="46">
        <f t="shared" si="2"/>
        <v>2.7777777777777857</v>
      </c>
    </row>
    <row r="34" spans="1:15" ht="15.75">
      <c r="A34" s="32">
        <v>29</v>
      </c>
      <c r="B34" s="33" t="s">
        <v>143</v>
      </c>
      <c r="C34" s="34">
        <v>0.5</v>
      </c>
      <c r="D34" s="35">
        <v>0</v>
      </c>
      <c r="E34" s="36">
        <v>0</v>
      </c>
      <c r="F34" s="36">
        <v>0</v>
      </c>
      <c r="G34" s="36">
        <v>0</v>
      </c>
      <c r="H34" s="36">
        <v>5</v>
      </c>
      <c r="I34" s="36">
        <v>0</v>
      </c>
      <c r="J34" s="36">
        <v>0</v>
      </c>
      <c r="K34" s="36">
        <v>0</v>
      </c>
      <c r="L34" s="36">
        <v>0</v>
      </c>
      <c r="M34" s="30">
        <v>0</v>
      </c>
      <c r="N34" s="41">
        <f t="shared" si="1"/>
        <v>0.5</v>
      </c>
      <c r="O34" s="46">
        <f t="shared" si="2"/>
        <v>0</v>
      </c>
    </row>
    <row r="35" spans="1:15" ht="31.5">
      <c r="A35" s="32">
        <v>30</v>
      </c>
      <c r="B35" s="33" t="s">
        <v>111</v>
      </c>
      <c r="C35" s="34">
        <v>2.7</v>
      </c>
      <c r="D35" s="35">
        <v>2.5</v>
      </c>
      <c r="E35" s="36">
        <v>3.5</v>
      </c>
      <c r="F35" s="36">
        <v>3</v>
      </c>
      <c r="G35" s="36">
        <v>2.3</v>
      </c>
      <c r="H35" s="36">
        <v>2.5</v>
      </c>
      <c r="I35" s="36">
        <v>3.1</v>
      </c>
      <c r="J35" s="36">
        <v>2.3</v>
      </c>
      <c r="K35" s="36">
        <v>2.6</v>
      </c>
      <c r="L35" s="36">
        <v>2.5</v>
      </c>
      <c r="M35" s="30">
        <v>3</v>
      </c>
      <c r="N35" s="41">
        <f t="shared" si="1"/>
        <v>2.7300000000000004</v>
      </c>
      <c r="O35" s="46">
        <f t="shared" si="2"/>
        <v>1.1111111111111285</v>
      </c>
    </row>
  </sheetData>
  <sheetProtection/>
  <mergeCells count="6">
    <mergeCell ref="A4:A5"/>
    <mergeCell ref="B4:B5"/>
    <mergeCell ref="C4:C5"/>
    <mergeCell ref="N4:N5"/>
    <mergeCell ref="O4:O5"/>
    <mergeCell ref="D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1">
      <selection activeCell="G14" sqref="G14"/>
    </sheetView>
  </sheetViews>
  <sheetFormatPr defaultColWidth="9.140625" defaultRowHeight="15"/>
  <cols>
    <col min="2" max="2" width="33.7109375" style="38" customWidth="1"/>
    <col min="3" max="3" width="14.28125" style="0" customWidth="1"/>
    <col min="13" max="13" width="8.8515625" style="42" customWidth="1"/>
    <col min="14" max="14" width="18.7109375" style="40" customWidth="1"/>
    <col min="15" max="15" width="17.8515625" style="45" customWidth="1"/>
  </cols>
  <sheetData>
    <row r="1" spans="1:14" ht="15.75">
      <c r="A1" s="23" t="s">
        <v>127</v>
      </c>
      <c r="B1" s="37"/>
      <c r="C1" s="24"/>
      <c r="D1" s="24"/>
      <c r="E1" s="24"/>
      <c r="N1" s="39"/>
    </row>
    <row r="2" spans="1:14" ht="15">
      <c r="A2" s="24" t="s">
        <v>148</v>
      </c>
      <c r="B2" s="37"/>
      <c r="C2" s="24"/>
      <c r="D2" s="24"/>
      <c r="E2" s="24"/>
      <c r="N2" s="39"/>
    </row>
    <row r="3" spans="1:14" ht="15.75">
      <c r="A3" s="23" t="s">
        <v>144</v>
      </c>
      <c r="B3" s="37"/>
      <c r="C3" s="24"/>
      <c r="D3" s="24"/>
      <c r="E3" s="24"/>
      <c r="N3" s="39"/>
    </row>
    <row r="4" spans="1:15" ht="15" customHeight="1">
      <c r="A4" s="310" t="s">
        <v>85</v>
      </c>
      <c r="B4" s="311" t="s">
        <v>86</v>
      </c>
      <c r="C4" s="310" t="s">
        <v>344</v>
      </c>
      <c r="D4" s="315" t="s">
        <v>87</v>
      </c>
      <c r="E4" s="316"/>
      <c r="F4" s="316"/>
      <c r="G4" s="316"/>
      <c r="H4" s="316"/>
      <c r="I4" s="316"/>
      <c r="J4" s="316"/>
      <c r="K4" s="316"/>
      <c r="L4" s="316"/>
      <c r="M4" s="316"/>
      <c r="N4" s="313" t="s">
        <v>343</v>
      </c>
      <c r="O4" s="314" t="s">
        <v>88</v>
      </c>
    </row>
    <row r="5" spans="1:15" ht="15.75">
      <c r="A5" s="310"/>
      <c r="B5" s="312"/>
      <c r="C5" s="310"/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43">
        <v>10</v>
      </c>
      <c r="N5" s="313"/>
      <c r="O5" s="314"/>
    </row>
    <row r="6" spans="1:15" ht="47.25">
      <c r="A6" s="26">
        <v>1</v>
      </c>
      <c r="B6" s="27" t="s">
        <v>345</v>
      </c>
      <c r="C6" s="28">
        <v>405</v>
      </c>
      <c r="D6" s="29">
        <v>341</v>
      </c>
      <c r="E6" s="30">
        <v>207</v>
      </c>
      <c r="F6" s="30">
        <v>352.7</v>
      </c>
      <c r="G6" s="30">
        <v>146.6</v>
      </c>
      <c r="H6" s="30">
        <v>445.5</v>
      </c>
      <c r="I6" s="30">
        <v>265.4</v>
      </c>
      <c r="J6" s="30">
        <v>197.5</v>
      </c>
      <c r="K6" s="30">
        <v>350</v>
      </c>
      <c r="L6" s="30">
        <v>391.1</v>
      </c>
      <c r="M6" s="30">
        <v>376.2</v>
      </c>
      <c r="N6" s="41">
        <f>SUM(D6:M6)/10</f>
        <v>307.29999999999995</v>
      </c>
      <c r="O6" s="46">
        <f aca="true" t="shared" si="0" ref="O6:O20">N6*100/C6-100</f>
        <v>-24.12345679012347</v>
      </c>
    </row>
    <row r="7" spans="1:15" s="42" customFormat="1" ht="15.75">
      <c r="A7" s="26">
        <v>2</v>
      </c>
      <c r="B7" s="27" t="s">
        <v>89</v>
      </c>
      <c r="C7" s="28">
        <v>36</v>
      </c>
      <c r="D7" s="29">
        <v>0</v>
      </c>
      <c r="E7" s="30">
        <v>0</v>
      </c>
      <c r="F7" s="30">
        <v>90</v>
      </c>
      <c r="G7" s="30">
        <v>0</v>
      </c>
      <c r="H7" s="30">
        <v>111.9</v>
      </c>
      <c r="I7" s="30">
        <v>0</v>
      </c>
      <c r="J7" s="30">
        <v>0</v>
      </c>
      <c r="K7" s="30">
        <v>90</v>
      </c>
      <c r="L7" s="30">
        <v>0</v>
      </c>
      <c r="M7" s="30">
        <v>90</v>
      </c>
      <c r="N7" s="41">
        <f aca="true" t="shared" si="1" ref="N7:N35">SUM(D7:M7)/10</f>
        <v>38.19</v>
      </c>
      <c r="O7" s="46">
        <f t="shared" si="0"/>
        <v>6.083333333333329</v>
      </c>
    </row>
    <row r="8" spans="1:15" ht="15.75">
      <c r="A8" s="26">
        <v>3</v>
      </c>
      <c r="B8" s="27" t="s">
        <v>90</v>
      </c>
      <c r="C8" s="28">
        <v>9.9</v>
      </c>
      <c r="D8" s="29">
        <v>10</v>
      </c>
      <c r="E8" s="30">
        <v>0</v>
      </c>
      <c r="F8" s="30">
        <v>10</v>
      </c>
      <c r="G8" s="30">
        <v>9.5</v>
      </c>
      <c r="H8" s="30">
        <v>13.9</v>
      </c>
      <c r="I8" s="30">
        <v>0</v>
      </c>
      <c r="J8" s="30">
        <v>27.8</v>
      </c>
      <c r="K8" s="30">
        <v>0</v>
      </c>
      <c r="L8" s="30">
        <v>10</v>
      </c>
      <c r="M8" s="30">
        <v>8.8</v>
      </c>
      <c r="N8" s="41">
        <f t="shared" si="1"/>
        <v>9</v>
      </c>
      <c r="O8" s="46">
        <f t="shared" si="0"/>
        <v>-9.090909090909093</v>
      </c>
    </row>
    <row r="9" spans="1:15" ht="15.75">
      <c r="A9" s="26">
        <v>4</v>
      </c>
      <c r="B9" s="27" t="s">
        <v>91</v>
      </c>
      <c r="C9" s="28">
        <v>5.4</v>
      </c>
      <c r="D9" s="29">
        <v>0</v>
      </c>
      <c r="E9" s="30">
        <v>15</v>
      </c>
      <c r="F9" s="30">
        <v>15</v>
      </c>
      <c r="G9" s="30">
        <v>0</v>
      </c>
      <c r="H9" s="30">
        <v>0</v>
      </c>
      <c r="I9" s="30">
        <v>18</v>
      </c>
      <c r="J9" s="30">
        <v>0</v>
      </c>
      <c r="K9" s="30">
        <v>5</v>
      </c>
      <c r="L9" s="30">
        <v>5</v>
      </c>
      <c r="M9" s="30">
        <v>0</v>
      </c>
      <c r="N9" s="41">
        <f t="shared" si="1"/>
        <v>5.8</v>
      </c>
      <c r="O9" s="46">
        <f t="shared" si="0"/>
        <v>7.407407407407405</v>
      </c>
    </row>
    <row r="10" spans="1:15" ht="15.75">
      <c r="A10" s="26">
        <v>5</v>
      </c>
      <c r="B10" s="27" t="s">
        <v>145</v>
      </c>
      <c r="C10" s="28">
        <v>49.5</v>
      </c>
      <c r="D10" s="29">
        <v>66.6</v>
      </c>
      <c r="E10" s="30">
        <v>49</v>
      </c>
      <c r="F10" s="30">
        <v>16</v>
      </c>
      <c r="G10" s="30">
        <v>117</v>
      </c>
      <c r="H10" s="30">
        <v>76.2</v>
      </c>
      <c r="I10" s="30">
        <v>60.2</v>
      </c>
      <c r="J10" s="30">
        <v>16</v>
      </c>
      <c r="K10" s="30">
        <v>56.8</v>
      </c>
      <c r="L10" s="30">
        <v>130</v>
      </c>
      <c r="M10" s="30">
        <v>86</v>
      </c>
      <c r="N10" s="41">
        <f t="shared" si="1"/>
        <v>67.38</v>
      </c>
      <c r="O10" s="46">
        <f t="shared" si="0"/>
        <v>36.121212121212125</v>
      </c>
    </row>
    <row r="11" spans="1:15" ht="47.25">
      <c r="A11" s="26">
        <v>6</v>
      </c>
      <c r="B11" s="27" t="s">
        <v>92</v>
      </c>
      <c r="C11" s="28">
        <v>21.6</v>
      </c>
      <c r="D11" s="29">
        <v>62.6</v>
      </c>
      <c r="E11" s="30">
        <v>0</v>
      </c>
      <c r="F11" s="30">
        <v>100</v>
      </c>
      <c r="G11" s="30">
        <v>0</v>
      </c>
      <c r="H11" s="30">
        <v>0</v>
      </c>
      <c r="I11" s="30">
        <v>13.6</v>
      </c>
      <c r="J11" s="30">
        <v>0</v>
      </c>
      <c r="K11" s="30">
        <v>0</v>
      </c>
      <c r="L11" s="30">
        <v>0</v>
      </c>
      <c r="M11" s="30">
        <v>21.3</v>
      </c>
      <c r="N11" s="41">
        <f t="shared" si="1"/>
        <v>19.75</v>
      </c>
      <c r="O11" s="46">
        <f t="shared" si="0"/>
        <v>-8.564814814814824</v>
      </c>
    </row>
    <row r="12" spans="1:15" ht="31.5">
      <c r="A12" s="26">
        <v>7</v>
      </c>
      <c r="B12" s="27" t="s">
        <v>93</v>
      </c>
      <c r="C12" s="28">
        <v>22.5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49.7</v>
      </c>
      <c r="K12" s="30">
        <v>0</v>
      </c>
      <c r="L12" s="30">
        <v>0</v>
      </c>
      <c r="M12" s="30">
        <v>0</v>
      </c>
      <c r="N12" s="41">
        <f t="shared" si="1"/>
        <v>4.970000000000001</v>
      </c>
      <c r="O12" s="46">
        <f t="shared" si="0"/>
        <v>-77.91111111111111</v>
      </c>
    </row>
    <row r="13" spans="1:15" ht="31.5">
      <c r="A13" s="26">
        <v>8</v>
      </c>
      <c r="B13" s="27" t="s">
        <v>146</v>
      </c>
      <c r="C13" s="28">
        <v>33.3</v>
      </c>
      <c r="D13" s="29">
        <v>0</v>
      </c>
      <c r="E13" s="30">
        <v>13.1</v>
      </c>
      <c r="F13" s="30">
        <v>0</v>
      </c>
      <c r="G13" s="30">
        <v>70</v>
      </c>
      <c r="H13" s="30">
        <v>0</v>
      </c>
      <c r="I13" s="30">
        <v>0</v>
      </c>
      <c r="J13" s="30">
        <v>52.5</v>
      </c>
      <c r="K13" s="30">
        <v>18.8</v>
      </c>
      <c r="L13" s="30">
        <v>0</v>
      </c>
      <c r="M13" s="30">
        <v>0</v>
      </c>
      <c r="N13" s="41">
        <f t="shared" si="1"/>
        <v>15.440000000000001</v>
      </c>
      <c r="O13" s="46">
        <f t="shared" si="0"/>
        <v>-53.63363363363362</v>
      </c>
    </row>
    <row r="14" spans="1:15" ht="15.75">
      <c r="A14" s="26">
        <v>9</v>
      </c>
      <c r="B14" s="27" t="s">
        <v>147</v>
      </c>
      <c r="C14" s="28">
        <v>36</v>
      </c>
      <c r="D14" s="29">
        <v>12.5</v>
      </c>
      <c r="E14" s="30">
        <v>3.5</v>
      </c>
      <c r="F14" s="30">
        <v>14</v>
      </c>
      <c r="G14" s="30">
        <v>0</v>
      </c>
      <c r="H14" s="30">
        <v>3</v>
      </c>
      <c r="I14" s="30">
        <v>126</v>
      </c>
      <c r="J14" s="30">
        <v>0</v>
      </c>
      <c r="K14" s="30">
        <v>15</v>
      </c>
      <c r="L14" s="30">
        <v>20</v>
      </c>
      <c r="M14" s="30">
        <v>18.1</v>
      </c>
      <c r="N14" s="41">
        <f t="shared" si="1"/>
        <v>21.21</v>
      </c>
      <c r="O14" s="46">
        <f t="shared" si="0"/>
        <v>-41.083333333333336</v>
      </c>
    </row>
    <row r="15" spans="1:15" ht="15.75">
      <c r="A15" s="26">
        <v>10</v>
      </c>
      <c r="B15" s="27" t="s">
        <v>94</v>
      </c>
      <c r="C15" s="28">
        <v>126</v>
      </c>
      <c r="D15" s="29">
        <v>231.6</v>
      </c>
      <c r="E15" s="30">
        <v>60</v>
      </c>
      <c r="F15" s="30">
        <v>135.1</v>
      </c>
      <c r="G15" s="30">
        <v>250.4</v>
      </c>
      <c r="H15" s="30">
        <v>16</v>
      </c>
      <c r="I15" s="30">
        <v>131.1</v>
      </c>
      <c r="J15" s="30">
        <v>115.3</v>
      </c>
      <c r="K15" s="30">
        <v>80</v>
      </c>
      <c r="L15" s="30">
        <v>131.1</v>
      </c>
      <c r="M15" s="30">
        <v>168.7</v>
      </c>
      <c r="N15" s="41">
        <f t="shared" si="1"/>
        <v>131.93</v>
      </c>
      <c r="O15" s="46">
        <f t="shared" si="0"/>
        <v>4.706349206349202</v>
      </c>
    </row>
    <row r="16" spans="1:15" ht="110.25">
      <c r="A16" s="26">
        <v>11</v>
      </c>
      <c r="B16" s="27" t="s">
        <v>95</v>
      </c>
      <c r="C16" s="28">
        <v>198</v>
      </c>
      <c r="D16" s="29">
        <v>111.5</v>
      </c>
      <c r="E16" s="30">
        <v>189.5</v>
      </c>
      <c r="F16" s="30">
        <v>200</v>
      </c>
      <c r="G16" s="30">
        <v>177.29</v>
      </c>
      <c r="H16" s="30">
        <v>120.4</v>
      </c>
      <c r="I16" s="30">
        <v>182</v>
      </c>
      <c r="J16" s="30">
        <v>192</v>
      </c>
      <c r="K16" s="30">
        <v>151.8</v>
      </c>
      <c r="L16" s="30">
        <v>287.1</v>
      </c>
      <c r="M16" s="30">
        <v>94.3</v>
      </c>
      <c r="N16" s="41">
        <f t="shared" si="1"/>
        <v>170.589</v>
      </c>
      <c r="O16" s="46">
        <f t="shared" si="0"/>
        <v>-13.84393939393938</v>
      </c>
    </row>
    <row r="17" spans="1:15" ht="15.75">
      <c r="A17" s="26">
        <v>12</v>
      </c>
      <c r="B17" s="27" t="s">
        <v>96</v>
      </c>
      <c r="C17" s="28">
        <v>90</v>
      </c>
      <c r="D17" s="29">
        <v>40</v>
      </c>
      <c r="E17" s="30">
        <v>122.5</v>
      </c>
      <c r="F17" s="30">
        <v>100</v>
      </c>
      <c r="G17" s="30">
        <v>105</v>
      </c>
      <c r="H17" s="30">
        <v>22.5</v>
      </c>
      <c r="I17" s="30">
        <v>26.5</v>
      </c>
      <c r="J17" s="30">
        <v>0</v>
      </c>
      <c r="K17" s="30">
        <v>140</v>
      </c>
      <c r="L17" s="30">
        <v>100</v>
      </c>
      <c r="M17" s="30">
        <v>0</v>
      </c>
      <c r="N17" s="41">
        <f t="shared" si="1"/>
        <v>65.65</v>
      </c>
      <c r="O17" s="46">
        <f t="shared" si="0"/>
        <v>-27.055555555555543</v>
      </c>
    </row>
    <row r="18" spans="1:15" ht="15.75">
      <c r="A18" s="26">
        <v>13</v>
      </c>
      <c r="B18" s="27" t="s">
        <v>97</v>
      </c>
      <c r="C18" s="28">
        <v>9.9</v>
      </c>
      <c r="D18" s="29">
        <v>0</v>
      </c>
      <c r="E18" s="30">
        <v>0</v>
      </c>
      <c r="F18" s="30">
        <v>18</v>
      </c>
      <c r="G18" s="30">
        <v>20</v>
      </c>
      <c r="H18" s="30">
        <v>0</v>
      </c>
      <c r="I18" s="30">
        <v>18</v>
      </c>
      <c r="J18" s="30">
        <v>18</v>
      </c>
      <c r="K18" s="30">
        <v>0</v>
      </c>
      <c r="L18" s="30">
        <v>18</v>
      </c>
      <c r="M18" s="30">
        <v>0</v>
      </c>
      <c r="N18" s="41">
        <f t="shared" si="1"/>
        <v>9.2</v>
      </c>
      <c r="O18" s="46">
        <f t="shared" si="0"/>
        <v>-7.070707070707087</v>
      </c>
    </row>
    <row r="19" spans="1:15" ht="15.75">
      <c r="A19" s="26">
        <v>14</v>
      </c>
      <c r="B19" s="27" t="s">
        <v>98</v>
      </c>
      <c r="C19" s="28">
        <v>90</v>
      </c>
      <c r="D19" s="29">
        <v>180</v>
      </c>
      <c r="E19" s="30">
        <v>180</v>
      </c>
      <c r="F19" s="30">
        <v>0</v>
      </c>
      <c r="G19" s="30">
        <v>0</v>
      </c>
      <c r="H19" s="30">
        <v>180</v>
      </c>
      <c r="I19" s="30">
        <v>180</v>
      </c>
      <c r="J19" s="30">
        <v>180</v>
      </c>
      <c r="K19" s="30">
        <v>0</v>
      </c>
      <c r="L19" s="30">
        <v>0</v>
      </c>
      <c r="M19" s="30">
        <v>180</v>
      </c>
      <c r="N19" s="41">
        <f t="shared" si="1"/>
        <v>108</v>
      </c>
      <c r="O19" s="46">
        <f t="shared" si="0"/>
        <v>20</v>
      </c>
    </row>
    <row r="20" spans="1:15" ht="15.75">
      <c r="A20" s="26">
        <v>15</v>
      </c>
      <c r="B20" s="27" t="s">
        <v>99</v>
      </c>
      <c r="C20" s="28">
        <v>45</v>
      </c>
      <c r="D20" s="29">
        <v>200</v>
      </c>
      <c r="E20" s="30">
        <v>0</v>
      </c>
      <c r="F20" s="30">
        <v>0</v>
      </c>
      <c r="G20" s="30">
        <v>0</v>
      </c>
      <c r="H20" s="30">
        <v>0</v>
      </c>
      <c r="I20" s="30">
        <v>200</v>
      </c>
      <c r="J20" s="30">
        <v>0</v>
      </c>
      <c r="K20" s="30">
        <v>0</v>
      </c>
      <c r="L20" s="30">
        <v>0</v>
      </c>
      <c r="M20" s="30">
        <v>0</v>
      </c>
      <c r="N20" s="41">
        <f t="shared" si="1"/>
        <v>40</v>
      </c>
      <c r="O20" s="46">
        <f t="shared" si="0"/>
        <v>-11.111111111111114</v>
      </c>
    </row>
    <row r="21" spans="1:15" ht="15.75">
      <c r="A21" s="26">
        <v>16</v>
      </c>
      <c r="B21" s="27" t="s">
        <v>12</v>
      </c>
      <c r="C21" s="28">
        <v>45</v>
      </c>
      <c r="D21" s="29">
        <v>45</v>
      </c>
      <c r="E21" s="29">
        <v>25</v>
      </c>
      <c r="F21" s="29">
        <v>25</v>
      </c>
      <c r="G21" s="29">
        <v>40</v>
      </c>
      <c r="H21" s="29">
        <v>25</v>
      </c>
      <c r="I21" s="29">
        <v>60</v>
      </c>
      <c r="J21" s="29">
        <v>60</v>
      </c>
      <c r="K21" s="30">
        <v>40</v>
      </c>
      <c r="L21" s="29">
        <v>50</v>
      </c>
      <c r="M21" s="29">
        <v>40</v>
      </c>
      <c r="N21" s="41">
        <f t="shared" si="1"/>
        <v>41</v>
      </c>
      <c r="O21" s="46">
        <f aca="true" t="shared" si="2" ref="O21:O35">N21*100/C21-100</f>
        <v>-8.888888888888886</v>
      </c>
    </row>
    <row r="22" spans="1:15" ht="15.75">
      <c r="A22" s="26">
        <v>17</v>
      </c>
      <c r="B22" s="27" t="s">
        <v>41</v>
      </c>
      <c r="C22" s="28">
        <v>72</v>
      </c>
      <c r="D22" s="29">
        <v>85</v>
      </c>
      <c r="E22" s="30">
        <v>64</v>
      </c>
      <c r="F22" s="30">
        <v>55</v>
      </c>
      <c r="G22" s="30">
        <v>95</v>
      </c>
      <c r="H22" s="30">
        <v>73</v>
      </c>
      <c r="I22" s="30">
        <v>78</v>
      </c>
      <c r="J22" s="30">
        <v>77</v>
      </c>
      <c r="K22" s="30">
        <v>60</v>
      </c>
      <c r="L22" s="30">
        <v>100</v>
      </c>
      <c r="M22" s="30">
        <v>65</v>
      </c>
      <c r="N22" s="41">
        <f t="shared" si="1"/>
        <v>75.2</v>
      </c>
      <c r="O22" s="46">
        <f t="shared" si="2"/>
        <v>4.444444444444443</v>
      </c>
    </row>
    <row r="23" spans="1:15" ht="15.75">
      <c r="A23" s="26">
        <v>18</v>
      </c>
      <c r="B23" s="27" t="s">
        <v>100</v>
      </c>
      <c r="C23" s="28">
        <v>38.7</v>
      </c>
      <c r="D23" s="29">
        <v>91.9</v>
      </c>
      <c r="E23" s="30">
        <v>93.4</v>
      </c>
      <c r="F23" s="30">
        <v>33.6</v>
      </c>
      <c r="G23" s="30">
        <v>32</v>
      </c>
      <c r="H23" s="30">
        <v>14.4</v>
      </c>
      <c r="I23" s="30">
        <v>29.6</v>
      </c>
      <c r="J23" s="30">
        <v>36.8</v>
      </c>
      <c r="K23" s="30">
        <v>81.4</v>
      </c>
      <c r="L23" s="30">
        <v>11</v>
      </c>
      <c r="M23" s="30">
        <v>32.4</v>
      </c>
      <c r="N23" s="41">
        <f t="shared" si="1"/>
        <v>45.65</v>
      </c>
      <c r="O23" s="46">
        <f t="shared" si="2"/>
        <v>17.95865633074935</v>
      </c>
    </row>
    <row r="24" spans="1:15" ht="15.75">
      <c r="A24" s="26">
        <v>19</v>
      </c>
      <c r="B24" s="27" t="s">
        <v>101</v>
      </c>
      <c r="C24" s="28">
        <v>10.8</v>
      </c>
      <c r="D24" s="29">
        <v>0</v>
      </c>
      <c r="E24" s="30">
        <v>0</v>
      </c>
      <c r="F24" s="30">
        <v>0</v>
      </c>
      <c r="G24" s="30">
        <v>8</v>
      </c>
      <c r="H24" s="30">
        <v>45.5</v>
      </c>
      <c r="I24" s="30">
        <v>0</v>
      </c>
      <c r="J24" s="30">
        <v>0</v>
      </c>
      <c r="K24" s="30">
        <v>0</v>
      </c>
      <c r="L24" s="30">
        <v>12</v>
      </c>
      <c r="M24" s="30">
        <v>0</v>
      </c>
      <c r="N24" s="41">
        <f t="shared" si="1"/>
        <v>6.55</v>
      </c>
      <c r="O24" s="46">
        <f t="shared" si="2"/>
        <v>-39.351851851851855</v>
      </c>
    </row>
    <row r="25" spans="1:15" ht="15.75">
      <c r="A25" s="26">
        <v>20</v>
      </c>
      <c r="B25" s="27" t="s">
        <v>102</v>
      </c>
      <c r="C25" s="28">
        <v>26.1</v>
      </c>
      <c r="D25" s="29">
        <v>2.5</v>
      </c>
      <c r="E25" s="30">
        <v>73.7</v>
      </c>
      <c r="F25" s="30">
        <v>13</v>
      </c>
      <c r="G25" s="30">
        <v>2</v>
      </c>
      <c r="H25" s="30">
        <v>56.5</v>
      </c>
      <c r="I25" s="30">
        <v>0</v>
      </c>
      <c r="J25" s="30">
        <v>7.4</v>
      </c>
      <c r="K25" s="30">
        <v>13</v>
      </c>
      <c r="L25" s="30">
        <v>0</v>
      </c>
      <c r="M25" s="30">
        <v>27.8</v>
      </c>
      <c r="N25" s="41">
        <f t="shared" si="1"/>
        <v>19.59</v>
      </c>
      <c r="O25" s="46">
        <f t="shared" si="2"/>
        <v>-24.942528735632195</v>
      </c>
    </row>
    <row r="26" spans="1:15" ht="15.75">
      <c r="A26" s="26">
        <v>21</v>
      </c>
      <c r="B26" s="27" t="s">
        <v>103</v>
      </c>
      <c r="C26" s="28">
        <v>18.9</v>
      </c>
      <c r="D26" s="29">
        <v>28.6</v>
      </c>
      <c r="E26" s="30">
        <v>12.9</v>
      </c>
      <c r="F26" s="30">
        <v>9.5</v>
      </c>
      <c r="G26" s="30">
        <v>17</v>
      </c>
      <c r="H26" s="30">
        <v>27.3</v>
      </c>
      <c r="I26" s="30">
        <v>28.5</v>
      </c>
      <c r="J26" s="30">
        <v>20.2</v>
      </c>
      <c r="K26" s="30">
        <v>5</v>
      </c>
      <c r="L26" s="30">
        <v>15</v>
      </c>
      <c r="M26" s="30">
        <v>26.6</v>
      </c>
      <c r="N26" s="41">
        <f t="shared" si="1"/>
        <v>19.06</v>
      </c>
      <c r="O26" s="46">
        <f t="shared" si="2"/>
        <v>0.8465608465608483</v>
      </c>
    </row>
    <row r="27" spans="1:15" ht="15.75">
      <c r="A27" s="26">
        <v>22</v>
      </c>
      <c r="B27" s="27" t="s">
        <v>104</v>
      </c>
      <c r="C27" s="28">
        <v>9.9</v>
      </c>
      <c r="D27" s="29">
        <v>7</v>
      </c>
      <c r="E27" s="30">
        <v>8.6</v>
      </c>
      <c r="F27" s="30">
        <v>12</v>
      </c>
      <c r="G27" s="30">
        <v>11.4</v>
      </c>
      <c r="H27" s="30">
        <v>4.7</v>
      </c>
      <c r="I27" s="30">
        <v>6.5</v>
      </c>
      <c r="J27" s="30">
        <v>10.2</v>
      </c>
      <c r="K27" s="30">
        <v>11</v>
      </c>
      <c r="L27" s="30">
        <v>10</v>
      </c>
      <c r="M27" s="30">
        <v>7.1</v>
      </c>
      <c r="N27" s="41">
        <f t="shared" si="1"/>
        <v>8.85</v>
      </c>
      <c r="O27" s="46">
        <f t="shared" si="2"/>
        <v>-10.606060606060609</v>
      </c>
    </row>
    <row r="28" spans="1:15" ht="15.75">
      <c r="A28" s="26">
        <v>23</v>
      </c>
      <c r="B28" s="27" t="s">
        <v>105</v>
      </c>
      <c r="C28" s="28">
        <v>18</v>
      </c>
      <c r="D28" s="29">
        <v>11</v>
      </c>
      <c r="E28" s="29">
        <v>30</v>
      </c>
      <c r="F28" s="29">
        <v>20</v>
      </c>
      <c r="G28" s="29">
        <v>0</v>
      </c>
      <c r="H28" s="29">
        <v>30</v>
      </c>
      <c r="I28" s="29">
        <v>11</v>
      </c>
      <c r="J28" s="29">
        <v>30</v>
      </c>
      <c r="K28" s="29">
        <v>52</v>
      </c>
      <c r="L28" s="29">
        <v>0</v>
      </c>
      <c r="M28" s="29">
        <v>0</v>
      </c>
      <c r="N28" s="41">
        <f t="shared" si="1"/>
        <v>18.4</v>
      </c>
      <c r="O28" s="46">
        <f t="shared" si="2"/>
        <v>2.2222222222222143</v>
      </c>
    </row>
    <row r="29" spans="1:15" ht="15.75">
      <c r="A29" s="26">
        <v>24</v>
      </c>
      <c r="B29" s="27" t="s">
        <v>106</v>
      </c>
      <c r="C29" s="28">
        <v>0.54</v>
      </c>
      <c r="D29" s="29">
        <v>0</v>
      </c>
      <c r="E29" s="30">
        <v>0.8</v>
      </c>
      <c r="F29" s="30">
        <v>0.8</v>
      </c>
      <c r="G29" s="30">
        <v>0.8</v>
      </c>
      <c r="H29" s="30">
        <v>0</v>
      </c>
      <c r="I29" s="30">
        <v>0.8</v>
      </c>
      <c r="J29" s="30">
        <v>0.8</v>
      </c>
      <c r="K29" s="30">
        <v>0.8</v>
      </c>
      <c r="L29" s="30">
        <v>0.8</v>
      </c>
      <c r="M29" s="30">
        <v>0</v>
      </c>
      <c r="N29" s="41">
        <f t="shared" si="1"/>
        <v>0.5599999999999999</v>
      </c>
      <c r="O29" s="46">
        <f t="shared" si="2"/>
        <v>3.703703703703681</v>
      </c>
    </row>
    <row r="30" spans="1:15" ht="15.75">
      <c r="A30" s="26">
        <v>25</v>
      </c>
      <c r="B30" s="27" t="s">
        <v>107</v>
      </c>
      <c r="C30" s="28">
        <v>0.54</v>
      </c>
      <c r="D30" s="29">
        <v>0</v>
      </c>
      <c r="E30" s="30">
        <v>1.3</v>
      </c>
      <c r="F30" s="30">
        <v>0</v>
      </c>
      <c r="G30" s="30">
        <v>0</v>
      </c>
      <c r="H30" s="30">
        <v>1.3</v>
      </c>
      <c r="I30" s="30">
        <v>1.3</v>
      </c>
      <c r="J30" s="30">
        <v>0</v>
      </c>
      <c r="K30" s="30">
        <v>0</v>
      </c>
      <c r="L30" s="30">
        <v>0</v>
      </c>
      <c r="M30" s="30">
        <v>1.3</v>
      </c>
      <c r="N30" s="41">
        <f t="shared" si="1"/>
        <v>0.52</v>
      </c>
      <c r="O30" s="46">
        <f t="shared" si="2"/>
        <v>-3.7037037037037095</v>
      </c>
    </row>
    <row r="31" spans="1:15" ht="15.75">
      <c r="A31" s="26">
        <v>26</v>
      </c>
      <c r="B31" s="27" t="s">
        <v>108</v>
      </c>
      <c r="C31" s="28">
        <v>1</v>
      </c>
      <c r="D31" s="29">
        <v>3.1</v>
      </c>
      <c r="E31" s="30">
        <v>0</v>
      </c>
      <c r="F31" s="30">
        <v>0</v>
      </c>
      <c r="G31" s="30">
        <v>3.1</v>
      </c>
      <c r="H31" s="30">
        <v>0</v>
      </c>
      <c r="I31" s="30">
        <v>0</v>
      </c>
      <c r="J31" s="30">
        <v>0</v>
      </c>
      <c r="K31" s="30">
        <v>0</v>
      </c>
      <c r="L31" s="30">
        <v>3.1</v>
      </c>
      <c r="M31" s="30">
        <v>0</v>
      </c>
      <c r="N31" s="41">
        <f t="shared" si="1"/>
        <v>0.93</v>
      </c>
      <c r="O31" s="46">
        <f t="shared" si="2"/>
        <v>-7</v>
      </c>
    </row>
    <row r="32" spans="1:15" ht="173.25">
      <c r="A32" s="26">
        <v>27</v>
      </c>
      <c r="B32" s="27" t="s">
        <v>109</v>
      </c>
      <c r="C32" s="28">
        <v>27</v>
      </c>
      <c r="D32" s="26">
        <v>29.7</v>
      </c>
      <c r="E32" s="31">
        <v>20.4</v>
      </c>
      <c r="F32" s="31">
        <v>29.4</v>
      </c>
      <c r="G32" s="31">
        <v>29.5</v>
      </c>
      <c r="H32" s="31">
        <v>30.4</v>
      </c>
      <c r="I32" s="31">
        <v>28.4</v>
      </c>
      <c r="J32" s="31">
        <v>31.5</v>
      </c>
      <c r="K32" s="31">
        <v>33.6</v>
      </c>
      <c r="L32" s="31">
        <v>21.3</v>
      </c>
      <c r="M32" s="31">
        <v>29.6</v>
      </c>
      <c r="N32" s="41">
        <f t="shared" si="1"/>
        <v>28.380000000000003</v>
      </c>
      <c r="O32" s="46">
        <f t="shared" si="2"/>
        <v>5.1111111111111285</v>
      </c>
    </row>
    <row r="33" spans="1:15" ht="15.75">
      <c r="A33" s="32">
        <v>28</v>
      </c>
      <c r="B33" s="33" t="s">
        <v>110</v>
      </c>
      <c r="C33" s="34">
        <v>0.45</v>
      </c>
      <c r="D33" s="35">
        <v>0</v>
      </c>
      <c r="E33" s="36">
        <v>1.9</v>
      </c>
      <c r="F33" s="36">
        <v>0</v>
      </c>
      <c r="G33" s="36">
        <v>0</v>
      </c>
      <c r="H33" s="36">
        <v>1.5</v>
      </c>
      <c r="I33" s="36">
        <v>0</v>
      </c>
      <c r="J33" s="36">
        <v>0</v>
      </c>
      <c r="K33" s="36">
        <v>0</v>
      </c>
      <c r="L33" s="36">
        <v>0</v>
      </c>
      <c r="M33" s="30">
        <v>1.2</v>
      </c>
      <c r="N33" s="41">
        <f t="shared" si="1"/>
        <v>0.45999999999999996</v>
      </c>
      <c r="O33" s="46">
        <f t="shared" si="2"/>
        <v>2.2222222222222143</v>
      </c>
    </row>
    <row r="34" spans="1:15" ht="15.75">
      <c r="A34" s="32">
        <v>29</v>
      </c>
      <c r="B34" s="33" t="s">
        <v>143</v>
      </c>
      <c r="C34" s="34">
        <v>0.6</v>
      </c>
      <c r="D34" s="35">
        <v>0</v>
      </c>
      <c r="E34" s="36">
        <v>0</v>
      </c>
      <c r="F34" s="36">
        <v>0</v>
      </c>
      <c r="G34" s="36">
        <v>0</v>
      </c>
      <c r="H34" s="36">
        <v>6</v>
      </c>
      <c r="I34" s="36">
        <v>0</v>
      </c>
      <c r="J34" s="36">
        <v>0</v>
      </c>
      <c r="K34" s="36">
        <v>0</v>
      </c>
      <c r="L34" s="36">
        <v>0</v>
      </c>
      <c r="M34" s="30">
        <v>0</v>
      </c>
      <c r="N34" s="41">
        <f t="shared" si="1"/>
        <v>0.6</v>
      </c>
      <c r="O34" s="46">
        <f t="shared" si="2"/>
        <v>0</v>
      </c>
    </row>
    <row r="35" spans="1:15" ht="31.5">
      <c r="A35" s="32">
        <v>30</v>
      </c>
      <c r="B35" s="33" t="s">
        <v>111</v>
      </c>
      <c r="C35" s="34">
        <v>4.5</v>
      </c>
      <c r="D35" s="35">
        <v>4.1</v>
      </c>
      <c r="E35" s="36">
        <v>5</v>
      </c>
      <c r="F35" s="36">
        <v>4.2</v>
      </c>
      <c r="G35" s="36">
        <v>4.6</v>
      </c>
      <c r="H35" s="36">
        <v>4</v>
      </c>
      <c r="I35" s="36">
        <v>4.4</v>
      </c>
      <c r="J35" s="36">
        <v>5</v>
      </c>
      <c r="K35" s="36">
        <v>4.9</v>
      </c>
      <c r="L35" s="36">
        <v>4.3</v>
      </c>
      <c r="M35" s="30">
        <v>4.9</v>
      </c>
      <c r="N35" s="41">
        <f t="shared" si="1"/>
        <v>4.539999999999999</v>
      </c>
      <c r="O35" s="46">
        <f t="shared" si="2"/>
        <v>0.8888888888888573</v>
      </c>
    </row>
  </sheetData>
  <sheetProtection/>
  <mergeCells count="6">
    <mergeCell ref="A4:A5"/>
    <mergeCell ref="B4:B5"/>
    <mergeCell ref="C4:C5"/>
    <mergeCell ref="D4:M4"/>
    <mergeCell ref="N4:N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2021-05-18T08:25:44Z</cp:lastPrinted>
  <dcterms:created xsi:type="dcterms:W3CDTF">2006-09-16T00:00:00Z</dcterms:created>
  <dcterms:modified xsi:type="dcterms:W3CDTF">2022-09-05T14:11:59Z</dcterms:modified>
  <cp:category/>
  <cp:version/>
  <cp:contentType/>
  <cp:contentStatus/>
</cp:coreProperties>
</file>