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7410" activeTab="0"/>
  </bookViews>
  <sheets>
    <sheet name="от 1 до 3л" sheetId="1" r:id="rId1"/>
    <sheet name="от 3 до 7 лет " sheetId="2" r:id="rId2"/>
  </sheets>
  <definedNames/>
  <calcPr fullCalcOnLoad="1"/>
</workbook>
</file>

<file path=xl/sharedStrings.xml><?xml version="1.0" encoding="utf-8"?>
<sst xmlns="http://schemas.openxmlformats.org/spreadsheetml/2006/main" count="842" uniqueCount="223">
  <si>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</si>
  <si>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</si>
  <si>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</si>
  <si>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</si>
  <si>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</si>
  <si>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</si>
  <si>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</si>
  <si>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</si>
  <si>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Неделя 1</t>
  </si>
  <si>
    <t>Завтрак</t>
  </si>
  <si>
    <t>Итого за завтрак:</t>
  </si>
  <si>
    <t>Обед</t>
  </si>
  <si>
    <t>Хлеб ржаной</t>
  </si>
  <si>
    <t>Итого за обед:</t>
  </si>
  <si>
    <t>Итого за день 1:</t>
  </si>
  <si>
    <t>Итого за день 3:</t>
  </si>
  <si>
    <t>Итого за день 4:</t>
  </si>
  <si>
    <t>Итого за обед</t>
  </si>
  <si>
    <t>«Утверждаю»</t>
  </si>
  <si>
    <t>Итого за день 7:</t>
  </si>
  <si>
    <t>Итого за день 8:</t>
  </si>
  <si>
    <t>Итого за день 9:</t>
  </si>
  <si>
    <t>Второй завтрак</t>
  </si>
  <si>
    <t xml:space="preserve">Второй завтрак 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</si>
  <si>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</si>
  <si>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</si>
  <si>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</si>
  <si>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</si>
  <si>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</si>
  <si>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Итого за день 2:</t>
  </si>
  <si>
    <t>Итого за день 10:</t>
  </si>
  <si>
    <t>Второй завтрак:</t>
  </si>
  <si>
    <t>Итого за 6 день:</t>
  </si>
  <si>
    <t>Хлеб пшеничный</t>
  </si>
  <si>
    <t>Сок фруктовый</t>
  </si>
  <si>
    <t>Кефир 2,5%</t>
  </si>
  <si>
    <t>ЭЦ</t>
  </si>
  <si>
    <t>180</t>
  </si>
  <si>
    <t>ТК №3</t>
  </si>
  <si>
    <t>ТК № 392</t>
  </si>
  <si>
    <t>ТК №399</t>
  </si>
  <si>
    <t>ТК №67</t>
  </si>
  <si>
    <t>ТК №321</t>
  </si>
  <si>
    <t>ТК №6</t>
  </si>
  <si>
    <t>ТК №9</t>
  </si>
  <si>
    <t>ТК №376</t>
  </si>
  <si>
    <t>ТК №401</t>
  </si>
  <si>
    <t>ТК №393</t>
  </si>
  <si>
    <t>ТК №368</t>
  </si>
  <si>
    <t>ТК №1</t>
  </si>
  <si>
    <t>ТК №235</t>
  </si>
  <si>
    <t>Обед:</t>
  </si>
  <si>
    <t>ТК №398</t>
  </si>
  <si>
    <t>ТК №173</t>
  </si>
  <si>
    <t>ТК №372</t>
  </si>
  <si>
    <t>ТК №204</t>
  </si>
  <si>
    <t>ТК №87</t>
  </si>
  <si>
    <t>ТК №313</t>
  </si>
  <si>
    <t>ТК №137</t>
  </si>
  <si>
    <t>ТК №397</t>
  </si>
  <si>
    <t>ТК №76</t>
  </si>
  <si>
    <t>ТК №125</t>
  </si>
  <si>
    <t>ТК №375</t>
  </si>
  <si>
    <t>Йогурт 2,5%</t>
  </si>
  <si>
    <t>ТК №170</t>
  </si>
  <si>
    <t>ТК №276</t>
  </si>
  <si>
    <t>Возрастная категория:  3-7 лет</t>
  </si>
  <si>
    <t>200</t>
  </si>
  <si>
    <t>ТК №57</t>
  </si>
  <si>
    <t>Уплотненный полдник</t>
  </si>
  <si>
    <t>Итого за уплотненный полдник:</t>
  </si>
  <si>
    <t>-</t>
  </si>
  <si>
    <t>ТК №20</t>
  </si>
  <si>
    <t>ТК №8</t>
  </si>
  <si>
    <t>ТК №316</t>
  </si>
  <si>
    <t>ТК №291</t>
  </si>
  <si>
    <t>МБДОУ № 6 «Светлячок»</t>
  </si>
  <si>
    <t>ТК 513</t>
  </si>
  <si>
    <t>ТК №202</t>
  </si>
  <si>
    <t>ТК 189</t>
  </si>
  <si>
    <t>ТК №169</t>
  </si>
  <si>
    <t>ТК 394</t>
  </si>
  <si>
    <t>ТК №23</t>
  </si>
  <si>
    <t>ТК 386</t>
  </si>
  <si>
    <t>Булочка молочная (молоко, мука пшеничная, дрожжи, масло сливочное, соль йодированная масло подсолнечное)</t>
  </si>
  <si>
    <t>ТК 266</t>
  </si>
  <si>
    <t>ТК 160</t>
  </si>
  <si>
    <t>ТК №403</t>
  </si>
  <si>
    <t>Свекольник с яйцом, со сметаной(1/2 яйца, свекла,картофель, морковь, лук репч., яйцо,томат паста, масло раст., соль йодир., сметана)</t>
  </si>
  <si>
    <t>Каша гречневая молочная (крупа гречневая,молоко, сахар-песок)</t>
  </si>
  <si>
    <t>Компот из черной смородины (черная смородина, сахар-песок)</t>
  </si>
  <si>
    <t>160</t>
  </si>
  <si>
    <t>410</t>
  </si>
  <si>
    <t>181</t>
  </si>
  <si>
    <t>Кондитерское изделие (Печенье) 2 шт.</t>
  </si>
  <si>
    <r>
      <t xml:space="preserve">Плов из говядины </t>
    </r>
    <r>
      <rPr>
        <sz val="10"/>
        <color indexed="8"/>
        <rFont val="Calibri"/>
        <family val="2"/>
      </rPr>
      <t>(говядина, крупа рисовая, морковь, лук репчатый, масло подсолнеч., соль йодир.)</t>
    </r>
  </si>
  <si>
    <t>Батон с маслом (батон, масло сливочное 72,5%)</t>
  </si>
  <si>
    <t>Напиток кофейный с молоком (кофейный напиток, молоко 3,2%, сахар)</t>
  </si>
  <si>
    <t>Салат из свежих огурцов со сладким перцем (огрцы свежие, перец сладкий свежий, масло подсолнечное, соль йодир.)</t>
  </si>
  <si>
    <t>Жаркое по-домашнему из говядины (говядина 1 кат., картофель, лук репчатый, томатная паста, масло сливочное 72,5%, соль йодир.)</t>
  </si>
  <si>
    <t>Напиток из шиповника (шиповник (целые плоды), сахар)</t>
  </si>
  <si>
    <t>Чай с лимоном (чай-заварка, сахар, лимон)</t>
  </si>
  <si>
    <t>Кисель ягодный (кисель концентрат, сахар)</t>
  </si>
  <si>
    <r>
      <t xml:space="preserve">Салат из свежей капусты и моркови </t>
    </r>
    <r>
      <rPr>
        <sz val="10"/>
        <color indexed="8"/>
        <rFont val="Calibri"/>
        <family val="2"/>
      </rPr>
      <t>(капуста белокочанная, морковь, лук репчатый, сахар, масло подсолнечное)</t>
    </r>
  </si>
  <si>
    <r>
      <t xml:space="preserve">Бутерброд с маслом, с сыром </t>
    </r>
    <r>
      <rPr>
        <sz val="10"/>
        <color indexed="8"/>
        <rFont val="Calibri"/>
        <family val="2"/>
      </rPr>
      <t>(батон, масло сливочное, сыр российский)</t>
    </r>
  </si>
  <si>
    <r>
      <t xml:space="preserve">Какао с молоком </t>
    </r>
    <r>
      <rPr>
        <sz val="10"/>
        <color indexed="8"/>
        <rFont val="Calibri"/>
        <family val="2"/>
      </rPr>
      <t>(какао порошок, молоко 3,2%, сахар)</t>
    </r>
  </si>
  <si>
    <r>
      <t xml:space="preserve">Суп  картофельный с рыбой </t>
    </r>
    <r>
      <rPr>
        <sz val="10"/>
        <color indexed="8"/>
        <rFont val="Calibri"/>
        <family val="2"/>
      </rPr>
      <t>(треска, картофель, морковь, лук репч., масло подсолнечное, соль йодир.)</t>
    </r>
  </si>
  <si>
    <r>
      <t xml:space="preserve">Чай с сахаром </t>
    </r>
    <r>
      <rPr>
        <sz val="10"/>
        <color indexed="8"/>
        <rFont val="Calibri"/>
        <family val="2"/>
      </rPr>
      <t>(чай-заварка, сахар)</t>
    </r>
  </si>
  <si>
    <r>
      <t xml:space="preserve">Чай с молоком </t>
    </r>
    <r>
      <rPr>
        <sz val="10"/>
        <color indexed="8"/>
        <rFont val="Calibri"/>
        <family val="2"/>
      </rPr>
      <t>(чай, молоко)</t>
    </r>
  </si>
  <si>
    <r>
      <t>Картофельное пюре</t>
    </r>
    <r>
      <rPr>
        <sz val="10"/>
        <color indexed="8"/>
        <rFont val="Calibri"/>
        <family val="2"/>
      </rPr>
      <t xml:space="preserve"> (картофель, молоко 3,2%, масло сливочное 72,5%, соль йодир.)</t>
    </r>
  </si>
  <si>
    <r>
      <t xml:space="preserve">Компот из  плодов суш. </t>
    </r>
    <r>
      <rPr>
        <sz val="10"/>
        <color indexed="8"/>
        <rFont val="Calibri"/>
        <family val="2"/>
      </rPr>
      <t>(смесь сухофруктов, сахар, лимонная кислота)</t>
    </r>
  </si>
  <si>
    <r>
      <t xml:space="preserve">Суп  картофельный с бобовыми с курицей </t>
    </r>
    <r>
      <rPr>
        <sz val="10"/>
        <color indexed="8"/>
        <rFont val="Calibri"/>
        <family val="2"/>
      </rPr>
      <t>(курица, картофель, горох, морковь, лук репч., масло подсолнечное, соль йодир.)</t>
    </r>
  </si>
  <si>
    <r>
      <t>Суп овощной на курином бульоне со сметаной</t>
    </r>
    <r>
      <rPr>
        <sz val="10"/>
        <color indexed="8"/>
        <rFont val="Calibri"/>
        <family val="2"/>
      </rPr>
      <t xml:space="preserve"> (куры 1кат., капуста белокочанная, картофель, масло растительное, морковь, лук репчатый, зеленый горошек консервированный, соль йодированная, сметана 15%)</t>
    </r>
  </si>
  <si>
    <r>
      <t xml:space="preserve">Щи из св. капусты с мясом со сметаной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подсолнечное, соль йодир., сметана 15%)</t>
    </r>
  </si>
  <si>
    <r>
      <t>Суп крестьянский с курой и рисом</t>
    </r>
    <r>
      <rPr>
        <sz val="10"/>
        <color indexed="8"/>
        <rFont val="Calibri"/>
        <family val="2"/>
      </rPr>
      <t xml:space="preserve"> (филе курицы, картофель, крупа рисовая, морковь, лук репч., томат паста, масло раст., соль йод.)</t>
    </r>
  </si>
  <si>
    <r>
      <t xml:space="preserve">Каша ДРУЖБА </t>
    </r>
    <r>
      <rPr>
        <sz val="10"/>
        <color indexed="8"/>
        <rFont val="Calibri"/>
        <family val="2"/>
      </rPr>
      <t>(крупа рисовая, пшено, молоко, сахар-песок, соль йод.)</t>
    </r>
  </si>
  <si>
    <t>ТК №255</t>
  </si>
  <si>
    <t>ТК №111/627</t>
  </si>
  <si>
    <t>ТК №10</t>
  </si>
  <si>
    <t>Запеканка из творога с повидлом (творог 9%, яйца, мука пшеничная или крупа манная, сахар – песок, сухари панировочные, сметана, масло сливочное, повидло)</t>
  </si>
  <si>
    <t>ТК №216</t>
  </si>
  <si>
    <t>ТК № 171</t>
  </si>
  <si>
    <t>ТК №250</t>
  </si>
  <si>
    <t>________О.С.Волкова</t>
  </si>
  <si>
    <r>
      <t xml:space="preserve">Каша молочная пшенная </t>
    </r>
    <r>
      <rPr>
        <sz val="10"/>
        <color indexed="8"/>
        <rFont val="Calibri"/>
        <family val="2"/>
      </rPr>
      <t>(крупа пшено, молоко 3,2%, сахар, соль йодир.)</t>
    </r>
  </si>
  <si>
    <t>Батон с маслом и сыром(батон, сыр,масло сливочное 72,5%)</t>
  </si>
  <si>
    <r>
      <t>Суп с макаронными изделиями</t>
    </r>
    <r>
      <rPr>
        <sz val="10"/>
        <color indexed="8"/>
        <rFont val="Calibri"/>
        <family val="2"/>
      </rPr>
      <t xml:space="preserve"> (куры 1кат., вермишель, картофель, масло растительное, морковь, лук репчатый, соль йодированная)</t>
    </r>
  </si>
  <si>
    <t>пюре картофельное (картофель,молоко 3,5%, масло сливочное, соль йодир.)</t>
  </si>
  <si>
    <r>
      <t xml:space="preserve">Компот из свежих ягод </t>
    </r>
    <r>
      <rPr>
        <sz val="10"/>
        <color indexed="8"/>
        <rFont val="Calibri"/>
        <family val="2"/>
      </rPr>
      <t>(ягоды, сахар)</t>
    </r>
  </si>
  <si>
    <t>тефтели мясные (говядина 1 кат, яйцо, молоко, хлеб пшеничный, лук репчатый, масло сливочное, соль йодированная)</t>
  </si>
  <si>
    <t xml:space="preserve">Суп молочный с крупой (крупа овсяная Геркулес,  молоко 3,2%, сахар-песок, соль йодир.) </t>
  </si>
  <si>
    <r>
      <t xml:space="preserve">Бутерброд с маслом </t>
    </r>
    <r>
      <rPr>
        <sz val="10"/>
        <color indexed="8"/>
        <rFont val="Calibri"/>
        <family val="2"/>
      </rPr>
      <t>(батон, масло сливочное)</t>
    </r>
  </si>
  <si>
    <t>фрукты</t>
  </si>
  <si>
    <t>Огурец свежий порциями</t>
  </si>
  <si>
    <t>Макаронные изделия отварные (макаронные изделия, масло сливочное 72,5%)</t>
  </si>
  <si>
    <t>Кондитерское изделие</t>
  </si>
  <si>
    <t xml:space="preserve">помидор свежий порционно </t>
  </si>
  <si>
    <t>Борщ с капустой и картофелем со сметаной с мясом (говядина 1 кат., картофель, капуста, морковь, лук репч., томатная паста, масло подсолн., соль йодир, сметана 15%)</t>
  </si>
  <si>
    <t>Рис отварной с овощами (крупа рис, морковь,лук репчатый)</t>
  </si>
  <si>
    <t>Каша ячневая молочная жидкая (крупа ячневая, молоко 3,2%, сахар, соль йодир.)</t>
  </si>
  <si>
    <t>Какао с молоком (какао порошок, молоко 3,2%, сахар)</t>
  </si>
  <si>
    <t>томаты в собственном соку</t>
  </si>
  <si>
    <t>Суп картофельный с мясными фрикадельками (говядина 1 кат, картофель, лук репчатый, морковь, масло сливочное)</t>
  </si>
  <si>
    <t>Гуляш из говядины (говядина 1 кат., морковь, лук репч., томат паста, масло слив., соль йод.)</t>
  </si>
  <si>
    <t>компот из яблок (яблоки, сахар, лим.к-та)</t>
  </si>
  <si>
    <t>Сырники запеченные со сгущенными молоком(творог 9%, яйца, мука пшеничная, сгущенное молоко, сахар-песок, масло растительное)</t>
  </si>
  <si>
    <t>Каша рисовая молочная (крупа рис, молоко 3,2%, сахар, соль йодир.)</t>
  </si>
  <si>
    <t>биточек мясной (говядина 1 кат, лук репчатый, масло растительное, хлеб пшеничный, яйцо куриное, соль йод.)</t>
  </si>
  <si>
    <t>греча отварная (крупа греча, соль йод., масло сливочное 72,5%)</t>
  </si>
  <si>
    <t>Котлета рыбная (треска, хлеб пшеничный, масло подсолнечное, соль йод.)</t>
  </si>
  <si>
    <t>70</t>
  </si>
  <si>
    <t>компот ягодный</t>
  </si>
  <si>
    <t>оладьи со сгущенным молоком (молоко 3,5%, мука пшеничная, дрожжи, яйцо куриное,сахар,соль йод.,масло сливочное,масло растительное, сгущенное молоко)</t>
  </si>
  <si>
    <t>Икра кабачковая (кабачки, чеснок, масло растительное)</t>
  </si>
  <si>
    <t>рыба припущенная (треска, лук репчатый, морковь, масло растительное)</t>
  </si>
  <si>
    <t>Картофель отварной (картофель, масло сливочное 72,5%, соль йодир.)</t>
  </si>
  <si>
    <t>Пудинг из творога (запечённый) (крупа манная, творог 9%, яйцо, сахар, ванилин, масло сливочное 72,5%, сметана 15%, изюм, сухари панировочные, варенье)</t>
  </si>
  <si>
    <t>каша кукурузная молочная (крупа кукурузная,молоко3,5%, масло сливочное 72,5%, сахар, соль йод.)</t>
  </si>
  <si>
    <t>суп картофельный с клецками (кура 1 кат.,картофель, лук репчатый, морковь, мука пшеничная, яйцо куриное, соль йод)</t>
  </si>
  <si>
    <t>макароны отварные с сыром (макаронные изд, сыр, масло сливочное)</t>
  </si>
  <si>
    <t>икра морковная (морковь, масло растительное, соль йод.)</t>
  </si>
  <si>
    <t>котлета мясная (говядина 1 кат, хлеб пшеничный, масло растительное, яйцо куриное, соль йод)</t>
  </si>
  <si>
    <t>лапшевник творожный с молочным соусом (творог, макаронные изд, сахар, яйцо куриное, молоко 3,5%, ванилин,крахмал)</t>
  </si>
  <si>
    <t>закуска порционная (огурец соленый)</t>
  </si>
  <si>
    <t>омлет запеченный с сыром (яйцо куриное, молоко 3,5%, масло растительное)</t>
  </si>
  <si>
    <t>Итого за полдник:</t>
  </si>
  <si>
    <t>обед</t>
  </si>
  <si>
    <t>завтрак</t>
  </si>
  <si>
    <t xml:space="preserve">обед </t>
  </si>
  <si>
    <t>второй завтрак</t>
  </si>
  <si>
    <t>50</t>
  </si>
  <si>
    <t>ТК №163</t>
  </si>
  <si>
    <t>Каша пшеничная молочная жидкая(крупа пшеничная, молоко 3,2%, сахар, соль йодир.)</t>
  </si>
  <si>
    <t>ТК 215</t>
  </si>
  <si>
    <t>Каша манная молочная жидкая (крупа манная, молоко 3,2%, соль йодир., сахар)</t>
  </si>
  <si>
    <t>ТК№170</t>
  </si>
  <si>
    <t>ТК 136</t>
  </si>
  <si>
    <t>ТК №100</t>
  </si>
  <si>
    <r>
      <t xml:space="preserve">рагу овощное с соусом </t>
    </r>
    <r>
      <rPr>
        <sz val="10"/>
        <color indexed="8"/>
        <rFont val="Calibri"/>
        <family val="2"/>
      </rPr>
      <t>( картофель, морковь, капуста белокач., лук репчатый, масло подсолн.,  соль йодир.)</t>
    </r>
  </si>
  <si>
    <t>каша гречневая рассыпчатая</t>
  </si>
  <si>
    <t>ТК 397</t>
  </si>
  <si>
    <t>ТК № 648</t>
  </si>
  <si>
    <r>
      <t>рагу овощное с соусом</t>
    </r>
    <r>
      <rPr>
        <sz val="10"/>
        <color indexed="8"/>
        <rFont val="Calibri"/>
        <family val="2"/>
      </rPr>
      <t>( картофель, морковь, капуста белокач., лук репчатый, масло подсолн.,  соль йодир.)</t>
    </r>
  </si>
  <si>
    <t>ТК№13</t>
  </si>
  <si>
    <t>ТК 10</t>
  </si>
  <si>
    <t>ТК №30</t>
  </si>
  <si>
    <t>салат из свеклы (свекла,масло растительное)</t>
  </si>
  <si>
    <t>ТК № 33</t>
  </si>
  <si>
    <t>ТК №392</t>
  </si>
  <si>
    <t>ТК№477</t>
  </si>
  <si>
    <t>ТК № 714</t>
  </si>
  <si>
    <t>ТК 635</t>
  </si>
  <si>
    <t>ТК №386</t>
  </si>
  <si>
    <t>ТК №373</t>
  </si>
  <si>
    <t>бефстроганов из говядины (говядина 1 кат, морковь, лук репч., сметана 15%, масло слив., мука пшеничная,соль йод.)</t>
  </si>
  <si>
    <t>чай с сахаром</t>
  </si>
  <si>
    <t>Котлета из говядины (говядина 1 кат, хлеб пшеничный, сухари панировочные, масло подсолнечное)</t>
  </si>
  <si>
    <t>запеканка картофельная с овощами (картофель,морковь, лук репчатый, масло растительное, яйцо куриное)</t>
  </si>
  <si>
    <t>Печень, тушеная в соусе (печень говяжья, мука пшеничная, масло подсолнечное, чеснок, сметана 15%, соль йодир.)</t>
  </si>
  <si>
    <t>Кондитерское изделие (печенье)</t>
  </si>
  <si>
    <t xml:space="preserve">Фрукты </t>
  </si>
  <si>
    <t>йогурт 2,5%</t>
  </si>
  <si>
    <t>475</t>
  </si>
  <si>
    <t>Итого за 5 день</t>
  </si>
  <si>
    <t>среднее за 5 дней:</t>
  </si>
  <si>
    <t>165</t>
  </si>
  <si>
    <t>ТК 235</t>
  </si>
  <si>
    <t>ТК 30</t>
  </si>
  <si>
    <t>ТК№30</t>
  </si>
  <si>
    <t>Неделя 2            день 6 (понедельник)</t>
  </si>
  <si>
    <t>День 7 (вторник)</t>
  </si>
  <si>
    <t>День 8 (среда)</t>
  </si>
  <si>
    <t>9 день (четверг)</t>
  </si>
  <si>
    <t>10 день (пятница)</t>
  </si>
  <si>
    <t>ТК 111/628</t>
  </si>
  <si>
    <t>145</t>
  </si>
  <si>
    <t>375</t>
  </si>
  <si>
    <t>45</t>
  </si>
  <si>
    <t>370</t>
  </si>
  <si>
    <t>60</t>
  </si>
  <si>
    <t>Салат из свежих огурцов со сладким перцем (огурцы свежие, перец сладкий свежий, масло подсолнечное, соль йодир.)</t>
  </si>
  <si>
    <t>Меню приготавливаемых блюд, в соответствии с СанПиН 2.3/2.4.3590-20 на период с 01.06.2023 по 31.08.2023 год</t>
  </si>
  <si>
    <t>31.05.2023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</si>
</sst>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0.0"/>
    <numFmt numFmtId="181" formatCode="#,##0.00\ &quot;₽&quot;"/>
    <numFmt numFmtId="182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2"/>
      <color indexed="10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i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25" fillId="0" borderId="10" xfId="53" applyNumberFormat="1" applyFont="1" applyBorder="1" applyAlignment="1">
      <alignment horizontal="center" vertical="center"/>
      <protection/>
    </xf>
    <xf numFmtId="0" fontId="54" fillId="0" borderId="11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28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28" fillId="8" borderId="10" xfId="0" applyNumberFormat="1" applyFont="1" applyFill="1" applyBorder="1" applyAlignment="1">
      <alignment horizontal="center" vertical="center"/>
    </xf>
    <xf numFmtId="2" fontId="25" fillId="0" borderId="10" xfId="53" applyNumberFormat="1" applyFont="1" applyFill="1" applyBorder="1" applyAlignment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7" fillId="32" borderId="10" xfId="0" applyNumberFormat="1" applyFont="1" applyFill="1" applyBorder="1" applyAlignment="1">
      <alignment horizontal="center" vertical="center"/>
    </xf>
    <xf numFmtId="2" fontId="27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29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 shrinkToFit="1"/>
    </xf>
    <xf numFmtId="0" fontId="55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wrapText="1"/>
    </xf>
    <xf numFmtId="0" fontId="55" fillId="0" borderId="10" xfId="0" applyFont="1" applyFill="1" applyBorder="1" applyAlignment="1">
      <alignment horizontal="left" vertical="center"/>
    </xf>
    <xf numFmtId="0" fontId="29" fillId="32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justify" vertical="center"/>
    </xf>
    <xf numFmtId="0" fontId="55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8" fillId="8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/>
    </xf>
    <xf numFmtId="0" fontId="28" fillId="32" borderId="10" xfId="0" applyFont="1" applyFill="1" applyBorder="1" applyAlignment="1">
      <alignment horizontal="center" vertical="center"/>
    </xf>
    <xf numFmtId="2" fontId="28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/>
    </xf>
    <xf numFmtId="2" fontId="27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7" fillId="8" borderId="10" xfId="0" applyFont="1" applyFill="1" applyBorder="1" applyAlignment="1">
      <alignment horizontal="center" vertical="center"/>
    </xf>
    <xf numFmtId="2" fontId="27" fillId="8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/>
    </xf>
    <xf numFmtId="0" fontId="27" fillId="36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2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27" fillId="32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/>
    </xf>
    <xf numFmtId="0" fontId="27" fillId="36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0" fontId="27" fillId="8" borderId="11" xfId="0" applyFont="1" applyFill="1" applyBorder="1" applyAlignment="1">
      <alignment horizontal="left"/>
    </xf>
    <xf numFmtId="0" fontId="27" fillId="36" borderId="11" xfId="0" applyFont="1" applyFill="1" applyBorder="1" applyAlignment="1">
      <alignment horizontal="left"/>
    </xf>
    <xf numFmtId="0" fontId="27" fillId="36" borderId="12" xfId="0" applyFont="1" applyFill="1" applyBorder="1" applyAlignment="1">
      <alignment horizontal="left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/>
    </xf>
    <xf numFmtId="0" fontId="27" fillId="35" borderId="10" xfId="0" applyFont="1" applyFill="1" applyBorder="1" applyAlignment="1">
      <alignment horizontal="left" vertical="center"/>
    </xf>
    <xf numFmtId="0" fontId="27" fillId="35" borderId="10" xfId="0" applyFont="1" applyFill="1" applyBorder="1" applyAlignment="1">
      <alignment horizontal="center" vertical="center"/>
    </xf>
    <xf numFmtId="2" fontId="27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/>
    </xf>
    <xf numFmtId="2" fontId="27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left" vertical="center"/>
    </xf>
    <xf numFmtId="2" fontId="28" fillId="35" borderId="10" xfId="0" applyNumberFormat="1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/>
    </xf>
    <xf numFmtId="2" fontId="27" fillId="38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/>
    </xf>
    <xf numFmtId="0" fontId="27" fillId="32" borderId="10" xfId="0" applyFont="1" applyFill="1" applyBorder="1" applyAlignment="1">
      <alignment horizontal="center" vertical="center" wrapText="1"/>
    </xf>
    <xf numFmtId="0" fontId="27" fillId="38" borderId="11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/>
    </xf>
    <xf numFmtId="0" fontId="27" fillId="36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28" fillId="8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 vertical="top"/>
    </xf>
    <xf numFmtId="0" fontId="27" fillId="32" borderId="10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8" borderId="20" xfId="0" applyFont="1" applyFill="1" applyBorder="1" applyAlignment="1">
      <alignment horizontal="center"/>
    </xf>
    <xf numFmtId="0" fontId="27" fillId="8" borderId="12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top"/>
    </xf>
    <xf numFmtId="0" fontId="27" fillId="0" borderId="12" xfId="0" applyFont="1" applyFill="1" applyBorder="1" applyAlignment="1">
      <alignment horizontal="left" vertical="top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left"/>
    </xf>
    <xf numFmtId="0" fontId="27" fillId="34" borderId="12" xfId="0" applyFont="1" applyFill="1" applyBorder="1" applyAlignment="1">
      <alignment horizontal="left"/>
    </xf>
    <xf numFmtId="0" fontId="27" fillId="38" borderId="11" xfId="0" applyFont="1" applyFill="1" applyBorder="1" applyAlignment="1">
      <alignment horizontal="left" vertical="center"/>
    </xf>
    <xf numFmtId="0" fontId="27" fillId="38" borderId="12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8" borderId="11" xfId="0" applyFont="1" applyFill="1" applyBorder="1" applyAlignment="1">
      <alignment horizontal="left" vertical="center"/>
    </xf>
    <xf numFmtId="0" fontId="27" fillId="8" borderId="12" xfId="0" applyFont="1" applyFill="1" applyBorder="1" applyAlignment="1">
      <alignment horizontal="left" vertical="center"/>
    </xf>
    <xf numFmtId="0" fontId="27" fillId="37" borderId="11" xfId="0" applyFont="1" applyFill="1" applyBorder="1" applyAlignment="1">
      <alignment/>
    </xf>
    <xf numFmtId="0" fontId="27" fillId="37" borderId="12" xfId="0" applyFont="1" applyFill="1" applyBorder="1" applyAlignment="1">
      <alignment/>
    </xf>
    <xf numFmtId="0" fontId="27" fillId="0" borderId="11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27" fillId="32" borderId="11" xfId="0" applyFont="1" applyFill="1" applyBorder="1" applyAlignment="1">
      <alignment/>
    </xf>
    <xf numFmtId="0" fontId="27" fillId="32" borderId="12" xfId="0" applyFont="1" applyFill="1" applyBorder="1" applyAlignment="1">
      <alignment/>
    </xf>
    <xf numFmtId="0" fontId="27" fillId="0" borderId="1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="80" zoomScaleNormal="80" zoomScalePageLayoutView="0" workbookViewId="0" topLeftCell="A1">
      <selection activeCell="G2" sqref="G2:H2"/>
    </sheetView>
  </sheetViews>
  <sheetFormatPr defaultColWidth="9.140625" defaultRowHeight="15"/>
  <cols>
    <col min="1" max="1" width="19.7109375" style="46" customWidth="1"/>
    <col min="2" max="2" width="50.28125" style="59" customWidth="1"/>
    <col min="3" max="3" width="11.57421875" style="46" bestFit="1" customWidth="1"/>
    <col min="4" max="5" width="10.28125" style="46" customWidth="1"/>
    <col min="6" max="6" width="11.00390625" style="46" customWidth="1"/>
    <col min="7" max="7" width="10.28125" style="46" customWidth="1"/>
    <col min="8" max="8" width="11.00390625" style="46" customWidth="1"/>
  </cols>
  <sheetData>
    <row r="1" spans="1:9" ht="15.75">
      <c r="A1" s="40"/>
      <c r="B1" s="47"/>
      <c r="C1" s="41"/>
      <c r="D1" s="42"/>
      <c r="E1" s="42"/>
      <c r="F1" s="42"/>
      <c r="G1" s="60" t="s">
        <v>18</v>
      </c>
      <c r="H1" s="61"/>
      <c r="I1" s="62"/>
    </row>
    <row r="2" spans="1:9" ht="15.75">
      <c r="A2" s="40"/>
      <c r="B2" s="47"/>
      <c r="C2" s="41"/>
      <c r="D2" s="42"/>
      <c r="E2" s="42"/>
      <c r="F2" s="42"/>
      <c r="G2" s="159" t="s">
        <v>76</v>
      </c>
      <c r="H2" s="160"/>
      <c r="I2" s="62"/>
    </row>
    <row r="3" spans="1:9" ht="15.75">
      <c r="A3" s="40"/>
      <c r="B3" s="47"/>
      <c r="C3" s="41"/>
      <c r="D3" s="42"/>
      <c r="E3" s="42"/>
      <c r="F3" s="42"/>
      <c r="G3" s="60" t="s">
        <v>123</v>
      </c>
      <c r="H3" s="61"/>
      <c r="I3" s="62"/>
    </row>
    <row r="4" spans="1:8" ht="15.75">
      <c r="A4" s="40"/>
      <c r="B4" s="47"/>
      <c r="C4" s="41"/>
      <c r="D4" s="42"/>
      <c r="E4" s="42"/>
      <c r="F4" s="42"/>
      <c r="G4" s="43" t="s">
        <v>222</v>
      </c>
      <c r="H4" s="17"/>
    </row>
    <row r="5" spans="1:8" ht="18.75">
      <c r="A5" s="161" t="s">
        <v>221</v>
      </c>
      <c r="B5" s="162"/>
      <c r="C5" s="162"/>
      <c r="D5" s="162"/>
      <c r="E5" s="162"/>
      <c r="F5" s="162"/>
      <c r="G5" s="162"/>
      <c r="H5" s="163"/>
    </row>
    <row r="6" spans="1:8" ht="15.75">
      <c r="A6" s="164" t="s">
        <v>66</v>
      </c>
      <c r="B6" s="164"/>
      <c r="C6" s="67"/>
      <c r="D6" s="44"/>
      <c r="E6" s="44"/>
      <c r="F6" s="44"/>
      <c r="G6" s="44"/>
      <c r="H6" s="68"/>
    </row>
    <row r="7" spans="1:8" ht="15.75">
      <c r="A7" s="165" t="s">
        <v>2</v>
      </c>
      <c r="B7" s="166" t="s">
        <v>0</v>
      </c>
      <c r="C7" s="165" t="s">
        <v>1</v>
      </c>
      <c r="D7" s="166" t="s">
        <v>3</v>
      </c>
      <c r="E7" s="166"/>
      <c r="F7" s="166"/>
      <c r="G7" s="121"/>
      <c r="H7" s="165" t="s">
        <v>7</v>
      </c>
    </row>
    <row r="8" spans="1:8" ht="15.75">
      <c r="A8" s="165"/>
      <c r="B8" s="166"/>
      <c r="C8" s="165"/>
      <c r="D8" s="122" t="s">
        <v>4</v>
      </c>
      <c r="E8" s="122" t="s">
        <v>5</v>
      </c>
      <c r="F8" s="122" t="s">
        <v>6</v>
      </c>
      <c r="G8" s="121" t="s">
        <v>36</v>
      </c>
      <c r="H8" s="165"/>
    </row>
    <row r="9" spans="1:8" ht="15.75">
      <c r="A9" s="167" t="s">
        <v>8</v>
      </c>
      <c r="B9" s="167"/>
      <c r="C9" s="167"/>
      <c r="D9" s="167"/>
      <c r="E9" s="167"/>
      <c r="F9" s="167"/>
      <c r="G9" s="167"/>
      <c r="H9" s="167"/>
    </row>
    <row r="10" spans="1:8" ht="15.75">
      <c r="A10" s="168" t="s">
        <v>24</v>
      </c>
      <c r="B10" s="168"/>
      <c r="C10" s="168"/>
      <c r="D10" s="168"/>
      <c r="E10" s="168"/>
      <c r="F10" s="168"/>
      <c r="G10" s="168"/>
      <c r="H10" s="168"/>
    </row>
    <row r="11" spans="1:8" ht="25.5">
      <c r="A11" s="165" t="s">
        <v>9</v>
      </c>
      <c r="B11" s="16" t="s">
        <v>124</v>
      </c>
      <c r="C11" s="69" t="s">
        <v>215</v>
      </c>
      <c r="D11" s="20">
        <f>4.662541*C11/130</f>
        <v>5.2005265</v>
      </c>
      <c r="E11" s="20">
        <f>2.221648*C11/130</f>
        <v>2.477992</v>
      </c>
      <c r="F11" s="20">
        <f>29.896685*C11/130</f>
        <v>33.3463025</v>
      </c>
      <c r="G11" s="20">
        <f>105*C11/140</f>
        <v>108.75</v>
      </c>
      <c r="H11" s="85" t="s">
        <v>175</v>
      </c>
    </row>
    <row r="12" spans="1:8" ht="25.5">
      <c r="A12" s="165"/>
      <c r="B12" s="48" t="s">
        <v>125</v>
      </c>
      <c r="C12" s="69" t="s">
        <v>170</v>
      </c>
      <c r="D12" s="20">
        <v>2.33</v>
      </c>
      <c r="E12" s="20">
        <v>8.12</v>
      </c>
      <c r="F12" s="20">
        <v>15.55</v>
      </c>
      <c r="G12" s="5">
        <v>144.7</v>
      </c>
      <c r="H12" s="120" t="s">
        <v>38</v>
      </c>
    </row>
    <row r="13" spans="1:8" ht="25.5">
      <c r="A13" s="165"/>
      <c r="B13" s="48" t="s">
        <v>97</v>
      </c>
      <c r="C13" s="21" t="s">
        <v>37</v>
      </c>
      <c r="D13" s="27">
        <f>1.62432*C13/150</f>
        <v>1.9491839999999998</v>
      </c>
      <c r="E13" s="27">
        <f>1.66144*C13/150</f>
        <v>1.9937280000000002</v>
      </c>
      <c r="F13" s="27">
        <f>9.03266*C13/150</f>
        <v>10.839191999999999</v>
      </c>
      <c r="G13" s="27">
        <f>57.58088*C13/150</f>
        <v>69.097056</v>
      </c>
      <c r="H13" s="10" t="s">
        <v>77</v>
      </c>
    </row>
    <row r="14" spans="1:8" ht="15.75">
      <c r="A14" s="169" t="s">
        <v>10</v>
      </c>
      <c r="B14" s="169"/>
      <c r="C14" s="71" t="s">
        <v>216</v>
      </c>
      <c r="D14" s="22">
        <f>SUM(D11:D13)</f>
        <v>9.4797105</v>
      </c>
      <c r="E14" s="22">
        <f>SUM(E11:E13)</f>
        <v>12.59172</v>
      </c>
      <c r="F14" s="22">
        <f>SUM(F11:F13)</f>
        <v>59.7354945</v>
      </c>
      <c r="G14" s="22">
        <f>SUM(G11:G13)</f>
        <v>322.547056</v>
      </c>
      <c r="H14" s="70"/>
    </row>
    <row r="15" spans="1:8" ht="15.75">
      <c r="A15" s="72" t="s">
        <v>31</v>
      </c>
      <c r="B15" s="49" t="s">
        <v>34</v>
      </c>
      <c r="C15" s="121">
        <v>150</v>
      </c>
      <c r="D15" s="36">
        <f>0.75*C15/150</f>
        <v>0.75</v>
      </c>
      <c r="E15" s="36">
        <f>0.15*C15/150</f>
        <v>0.15</v>
      </c>
      <c r="F15" s="36">
        <f>15.15*C15/150</f>
        <v>15.15</v>
      </c>
      <c r="G15" s="36">
        <f>69*C15/150</f>
        <v>69</v>
      </c>
      <c r="H15" s="70" t="s">
        <v>40</v>
      </c>
    </row>
    <row r="16" spans="1:8" ht="38.25">
      <c r="A16" s="166" t="s">
        <v>11</v>
      </c>
      <c r="B16" s="50" t="s">
        <v>103</v>
      </c>
      <c r="C16" s="23">
        <v>35</v>
      </c>
      <c r="D16" s="20">
        <f>0.5533845*C16/30</f>
        <v>0.64561525</v>
      </c>
      <c r="E16" s="20">
        <f>1.4412174*C16/30</f>
        <v>1.6814202999999999</v>
      </c>
      <c r="F16" s="20">
        <f>2.8616133*C16/30</f>
        <v>3.3385488500000005</v>
      </c>
      <c r="G16" s="20">
        <f>26.6*C16/30</f>
        <v>31.033333333333335</v>
      </c>
      <c r="H16" s="73" t="s">
        <v>72</v>
      </c>
    </row>
    <row r="17" spans="1:8" ht="38.25">
      <c r="A17" s="166"/>
      <c r="B17" s="16" t="s">
        <v>126</v>
      </c>
      <c r="C17" s="74">
        <v>180</v>
      </c>
      <c r="D17" s="20">
        <v>4.002188</v>
      </c>
      <c r="E17" s="20">
        <v>7.6576319999999996</v>
      </c>
      <c r="F17" s="20">
        <v>8.4317</v>
      </c>
      <c r="G17" s="20">
        <v>118.8</v>
      </c>
      <c r="H17" s="85" t="s">
        <v>177</v>
      </c>
    </row>
    <row r="18" spans="1:8" ht="38.25">
      <c r="A18" s="166"/>
      <c r="B18" s="16" t="s">
        <v>129</v>
      </c>
      <c r="C18" s="9">
        <v>60</v>
      </c>
      <c r="D18" s="13">
        <f>7.3823464*C18/50</f>
        <v>8.85881568</v>
      </c>
      <c r="E18" s="13">
        <f>8.9464936*C18/50</f>
        <v>10.73579232</v>
      </c>
      <c r="F18" s="13">
        <f>1.657565*C18/50</f>
        <v>1.9890780000000001</v>
      </c>
      <c r="G18" s="13">
        <f>116.678088*C18/50</f>
        <v>140.01370559999998</v>
      </c>
      <c r="H18" s="131" t="s">
        <v>81</v>
      </c>
    </row>
    <row r="19" spans="1:8" ht="25.5">
      <c r="A19" s="166"/>
      <c r="B19" s="48" t="s">
        <v>127</v>
      </c>
      <c r="C19" s="35">
        <v>110</v>
      </c>
      <c r="D19" s="25">
        <f>2.612918*C19/110</f>
        <v>2.612918</v>
      </c>
      <c r="E19" s="25">
        <f>2.801876*C19/110</f>
        <v>2.801876</v>
      </c>
      <c r="F19" s="25">
        <f>26.4899635*C19/110</f>
        <v>26.4899635</v>
      </c>
      <c r="G19" s="25">
        <f>133*C19/110</f>
        <v>133</v>
      </c>
      <c r="H19" s="85" t="s">
        <v>42</v>
      </c>
    </row>
    <row r="20" spans="1:8" ht="15.75">
      <c r="A20" s="166"/>
      <c r="B20" s="48" t="s">
        <v>12</v>
      </c>
      <c r="C20" s="23">
        <v>25</v>
      </c>
      <c r="D20" s="20">
        <f>1.32*C20/20</f>
        <v>1.65</v>
      </c>
      <c r="E20" s="20">
        <f>0.22*C20/20</f>
        <v>0.275</v>
      </c>
      <c r="F20" s="20">
        <f>8.2*C20/20</f>
        <v>10.249999999999998</v>
      </c>
      <c r="G20" s="25">
        <f>40*C20/20</f>
        <v>50</v>
      </c>
      <c r="H20" s="70" t="s">
        <v>44</v>
      </c>
    </row>
    <row r="21" spans="1:8" ht="15.75">
      <c r="A21" s="166"/>
      <c r="B21" s="48" t="s">
        <v>33</v>
      </c>
      <c r="C21" s="74">
        <v>30</v>
      </c>
      <c r="D21" s="20">
        <f>2.28*C21/30</f>
        <v>2.28</v>
      </c>
      <c r="E21" s="20">
        <f>0.24*C21/30</f>
        <v>0.23999999999999996</v>
      </c>
      <c r="F21" s="20">
        <f>14.76*C21/30</f>
        <v>14.76</v>
      </c>
      <c r="G21" s="20">
        <f>70.5*C21/30</f>
        <v>70.5</v>
      </c>
      <c r="H21" s="70" t="s">
        <v>43</v>
      </c>
    </row>
    <row r="22" spans="1:8" ht="15.75">
      <c r="A22" s="166"/>
      <c r="B22" s="51" t="s">
        <v>128</v>
      </c>
      <c r="C22" s="23">
        <v>170</v>
      </c>
      <c r="D22" s="20">
        <f>0.11*C22/150</f>
        <v>0.12466666666666666</v>
      </c>
      <c r="E22" s="20">
        <f>0.11*C22/150</f>
        <v>0.12466666666666666</v>
      </c>
      <c r="F22" s="20">
        <f>11.75*C22/150</f>
        <v>13.316666666666666</v>
      </c>
      <c r="G22" s="20">
        <f>48.5*C22/150</f>
        <v>54.96666666666667</v>
      </c>
      <c r="H22" s="85" t="s">
        <v>62</v>
      </c>
    </row>
    <row r="23" spans="1:8" ht="15.75">
      <c r="A23" s="169" t="s">
        <v>13</v>
      </c>
      <c r="B23" s="169"/>
      <c r="C23" s="75">
        <v>610</v>
      </c>
      <c r="D23" s="26">
        <f>SUM(D16:D22)</f>
        <v>20.174203596666665</v>
      </c>
      <c r="E23" s="26">
        <f>SUM(E16:E22)</f>
        <v>23.516387286666664</v>
      </c>
      <c r="F23" s="26">
        <f>SUM(F16:F22)</f>
        <v>78.57595701666666</v>
      </c>
      <c r="G23" s="26">
        <f>SUM(G16:G22)</f>
        <v>598.3137056</v>
      </c>
      <c r="H23" s="70"/>
    </row>
    <row r="24" spans="1:8" ht="26.25">
      <c r="A24" s="165" t="s">
        <v>69</v>
      </c>
      <c r="B24" s="52" t="s">
        <v>182</v>
      </c>
      <c r="C24" s="6">
        <v>180</v>
      </c>
      <c r="D24" s="27">
        <f>14.2*C24/160</f>
        <v>15.975</v>
      </c>
      <c r="E24" s="27">
        <f>11.49*C24/160</f>
        <v>12.92625</v>
      </c>
      <c r="F24" s="27">
        <f>13.81*C24/160</f>
        <v>15.53625</v>
      </c>
      <c r="G24" s="27">
        <f>215.49*C24/160</f>
        <v>242.42625000000004</v>
      </c>
      <c r="H24" s="133" t="s">
        <v>58</v>
      </c>
    </row>
    <row r="25" spans="1:8" ht="15.75">
      <c r="A25" s="165"/>
      <c r="B25" s="48" t="s">
        <v>33</v>
      </c>
      <c r="C25" s="74">
        <v>20</v>
      </c>
      <c r="D25" s="20">
        <f>2.28*C25/30</f>
        <v>1.5199999999999998</v>
      </c>
      <c r="E25" s="20">
        <f>0.24*C25/30</f>
        <v>0.16</v>
      </c>
      <c r="F25" s="20">
        <f>14.76*C25/30</f>
        <v>9.84</v>
      </c>
      <c r="G25" s="20">
        <f>70.5*C25/30</f>
        <v>47</v>
      </c>
      <c r="H25" s="70" t="s">
        <v>43</v>
      </c>
    </row>
    <row r="26" spans="1:8" ht="15.75">
      <c r="A26" s="165"/>
      <c r="B26" s="48" t="s">
        <v>12</v>
      </c>
      <c r="C26" s="23">
        <v>20</v>
      </c>
      <c r="D26" s="20">
        <v>1.32</v>
      </c>
      <c r="E26" s="20">
        <v>0.22</v>
      </c>
      <c r="F26" s="20">
        <v>8.2</v>
      </c>
      <c r="G26" s="25">
        <v>40</v>
      </c>
      <c r="H26" s="70" t="s">
        <v>44</v>
      </c>
    </row>
    <row r="27" spans="1:8" ht="15.75">
      <c r="A27" s="165"/>
      <c r="B27" s="16" t="s">
        <v>101</v>
      </c>
      <c r="C27" s="23">
        <v>180</v>
      </c>
      <c r="D27" s="20">
        <f>4.35*C27/150</f>
        <v>5.219999999999999</v>
      </c>
      <c r="E27" s="20">
        <f>4.8*C27/150</f>
        <v>5.76</v>
      </c>
      <c r="F27" s="20">
        <f>7.05*C27/150</f>
        <v>8.46</v>
      </c>
      <c r="G27" s="25">
        <f>90*C27/150</f>
        <v>108</v>
      </c>
      <c r="H27" s="85" t="s">
        <v>47</v>
      </c>
    </row>
    <row r="28" spans="1:8" ht="38.25">
      <c r="A28" s="165"/>
      <c r="B28" s="48" t="s">
        <v>84</v>
      </c>
      <c r="C28" s="74">
        <v>50</v>
      </c>
      <c r="D28" s="20">
        <v>0.8</v>
      </c>
      <c r="E28" s="20">
        <v>2.1</v>
      </c>
      <c r="F28" s="20">
        <v>7.5</v>
      </c>
      <c r="G28" s="20">
        <v>52</v>
      </c>
      <c r="H28" s="85" t="s">
        <v>189</v>
      </c>
    </row>
    <row r="29" spans="1:8" ht="15.75">
      <c r="A29" s="167" t="s">
        <v>70</v>
      </c>
      <c r="B29" s="167"/>
      <c r="C29" s="122">
        <v>450</v>
      </c>
      <c r="D29" s="31">
        <f>SUM(D24:D28)</f>
        <v>24.835</v>
      </c>
      <c r="E29" s="31">
        <f>SUM(E24:E28)</f>
        <v>21.16625</v>
      </c>
      <c r="F29" s="31">
        <f>SUM(F24:F28)</f>
        <v>49.53625</v>
      </c>
      <c r="G29" s="31">
        <f>SUM(G24:G28)</f>
        <v>489.42625000000004</v>
      </c>
      <c r="H29" s="70"/>
    </row>
    <row r="30" spans="1:8" ht="15.75">
      <c r="A30" s="170" t="s">
        <v>14</v>
      </c>
      <c r="B30" s="170"/>
      <c r="C30" s="76"/>
      <c r="D30" s="28">
        <f>D14+D15+D23+D29</f>
        <v>55.23891409666666</v>
      </c>
      <c r="E30" s="28">
        <f>E14+E15+E23+E29</f>
        <v>57.42435728666666</v>
      </c>
      <c r="F30" s="28">
        <f>F14+F15+F23+F29</f>
        <v>202.99770151666667</v>
      </c>
      <c r="G30" s="28">
        <f>G14+G15+G23+G29</f>
        <v>1479.2870116000001</v>
      </c>
      <c r="H30" s="77"/>
    </row>
    <row r="31" spans="1:8" ht="15.75">
      <c r="A31" s="168" t="s">
        <v>25</v>
      </c>
      <c r="B31" s="168"/>
      <c r="C31" s="168"/>
      <c r="D31" s="168"/>
      <c r="E31" s="168"/>
      <c r="F31" s="168"/>
      <c r="G31" s="168"/>
      <c r="H31" s="168"/>
    </row>
    <row r="32" spans="1:8" ht="25.5">
      <c r="A32" s="166" t="s">
        <v>9</v>
      </c>
      <c r="B32" s="66" t="s">
        <v>130</v>
      </c>
      <c r="C32" s="6">
        <v>145</v>
      </c>
      <c r="D32" s="27">
        <f>4.961884*C32/155</f>
        <v>4.6417624516129035</v>
      </c>
      <c r="E32" s="27">
        <f>3.065216*C32/155</f>
        <v>2.867460129032258</v>
      </c>
      <c r="F32" s="27">
        <f>19.133478*C32/155</f>
        <v>17.89906006451613</v>
      </c>
      <c r="G32" s="102">
        <f>92*C32/135</f>
        <v>98.81481481481481</v>
      </c>
      <c r="H32" s="128" t="s">
        <v>79</v>
      </c>
    </row>
    <row r="33" spans="1:8" ht="15.75">
      <c r="A33" s="166"/>
      <c r="B33" s="16" t="s">
        <v>131</v>
      </c>
      <c r="C33" s="78" t="s">
        <v>217</v>
      </c>
      <c r="D33" s="25">
        <v>6.52</v>
      </c>
      <c r="E33" s="25">
        <v>9.25</v>
      </c>
      <c r="F33" s="25">
        <v>21.965</v>
      </c>
      <c r="G33" s="25">
        <v>198.6</v>
      </c>
      <c r="H33" s="129" t="s">
        <v>49</v>
      </c>
    </row>
    <row r="34" spans="1:8" ht="15.75">
      <c r="A34" s="166"/>
      <c r="B34" s="16" t="s">
        <v>105</v>
      </c>
      <c r="C34" s="23">
        <v>180</v>
      </c>
      <c r="D34" s="25">
        <f>2.46*C34/180</f>
        <v>2.46</v>
      </c>
      <c r="E34" s="25">
        <f>1.86*C34/180</f>
        <v>1.86</v>
      </c>
      <c r="F34" s="25">
        <f>11.94*C34/180</f>
        <v>11.94</v>
      </c>
      <c r="G34" s="25">
        <f>64*C34/180</f>
        <v>64</v>
      </c>
      <c r="H34" s="73" t="s">
        <v>59</v>
      </c>
    </row>
    <row r="35" spans="1:8" ht="15.75">
      <c r="A35" s="169" t="s">
        <v>10</v>
      </c>
      <c r="B35" s="169"/>
      <c r="C35" s="121">
        <v>325</v>
      </c>
      <c r="D35" s="22">
        <f>D32+D33+D34</f>
        <v>13.621762451612902</v>
      </c>
      <c r="E35" s="22">
        <f>E32+E33+E34</f>
        <v>13.977460129032258</v>
      </c>
      <c r="F35" s="22">
        <f>F32+F33+F34</f>
        <v>51.80406006451613</v>
      </c>
      <c r="G35" s="22">
        <f>G32+G33+G34</f>
        <v>361.4148148148148</v>
      </c>
      <c r="H35" s="70"/>
    </row>
    <row r="36" spans="1:8" ht="15.75">
      <c r="A36" s="126" t="s">
        <v>31</v>
      </c>
      <c r="B36" s="49" t="s">
        <v>132</v>
      </c>
      <c r="C36" s="121">
        <v>100</v>
      </c>
      <c r="D36" s="36">
        <f>0.75*C36/150</f>
        <v>0.5</v>
      </c>
      <c r="E36" s="36">
        <f>0.15*C36/150</f>
        <v>0.1</v>
      </c>
      <c r="F36" s="36">
        <f>15.15*C36/150</f>
        <v>10.1</v>
      </c>
      <c r="G36" s="36">
        <f>69*C36/150</f>
        <v>46</v>
      </c>
      <c r="H36" s="70" t="s">
        <v>48</v>
      </c>
    </row>
    <row r="37" spans="1:8" ht="15.75">
      <c r="A37" s="166" t="s">
        <v>11</v>
      </c>
      <c r="B37" s="16" t="s">
        <v>133</v>
      </c>
      <c r="C37" s="74">
        <v>35</v>
      </c>
      <c r="D37" s="5">
        <f>0.435955*C37/30</f>
        <v>0.5086141666666666</v>
      </c>
      <c r="E37" s="5">
        <f>2.379704*C37/30</f>
        <v>2.776321333333333</v>
      </c>
      <c r="F37" s="5">
        <f>1.967329*C37/30</f>
        <v>2.2952171666666668</v>
      </c>
      <c r="G37" s="39">
        <f>31*C37/30</f>
        <v>36.166666666666664</v>
      </c>
      <c r="H37" s="70" t="s">
        <v>183</v>
      </c>
    </row>
    <row r="38" spans="1:8" ht="25.5">
      <c r="A38" s="166"/>
      <c r="B38" s="16" t="s">
        <v>106</v>
      </c>
      <c r="C38" s="35">
        <v>190</v>
      </c>
      <c r="D38" s="5">
        <v>5.56104</v>
      </c>
      <c r="E38" s="5">
        <v>3.2049600000000003</v>
      </c>
      <c r="F38" s="5">
        <v>12.965679999999995</v>
      </c>
      <c r="G38" s="25">
        <v>102.9</v>
      </c>
      <c r="H38" s="70" t="s">
        <v>56</v>
      </c>
    </row>
    <row r="39" spans="1:8" ht="38.25">
      <c r="A39" s="166"/>
      <c r="B39" s="16" t="s">
        <v>194</v>
      </c>
      <c r="C39" s="6">
        <v>60</v>
      </c>
      <c r="D39" s="27">
        <f>6.55493333333333*C39/50</f>
        <v>7.8659199999999965</v>
      </c>
      <c r="E39" s="27">
        <f>8.9628*C39/50</f>
        <v>10.755360000000001</v>
      </c>
      <c r="F39" s="27">
        <f>6.37*C39/50</f>
        <v>7.644</v>
      </c>
      <c r="G39" s="27">
        <f>132*C39/50</f>
        <v>158.4</v>
      </c>
      <c r="H39" s="134" t="s">
        <v>193</v>
      </c>
    </row>
    <row r="40" spans="1:8" ht="25.5">
      <c r="A40" s="166"/>
      <c r="B40" s="16" t="s">
        <v>134</v>
      </c>
      <c r="C40" s="35">
        <v>110</v>
      </c>
      <c r="D40" s="25">
        <f>6.03*C40/110</f>
        <v>6.03</v>
      </c>
      <c r="E40" s="25">
        <f>4.6*C40/110</f>
        <v>4.6</v>
      </c>
      <c r="F40" s="25">
        <f>26.35*C40/110</f>
        <v>26.35</v>
      </c>
      <c r="G40" s="25">
        <f>144*C40/110</f>
        <v>144</v>
      </c>
      <c r="H40" s="85" t="s">
        <v>55</v>
      </c>
    </row>
    <row r="41" spans="1:8" ht="25.5">
      <c r="A41" s="166"/>
      <c r="B41" s="51" t="s">
        <v>110</v>
      </c>
      <c r="C41" s="23">
        <v>180</v>
      </c>
      <c r="D41" s="20">
        <f>0.11*C41/180</f>
        <v>0.11</v>
      </c>
      <c r="E41" s="20">
        <f>0.04*C41/180</f>
        <v>0.04</v>
      </c>
      <c r="F41" s="20">
        <f>9.84*C41/180</f>
        <v>9.84</v>
      </c>
      <c r="G41" s="25">
        <f>40.17*C41/180</f>
        <v>40.17</v>
      </c>
      <c r="H41" s="70" t="s">
        <v>45</v>
      </c>
    </row>
    <row r="42" spans="1:8" ht="15.75">
      <c r="A42" s="166"/>
      <c r="B42" s="48" t="s">
        <v>12</v>
      </c>
      <c r="C42" s="23">
        <v>25</v>
      </c>
      <c r="D42" s="20">
        <f>1.32*C42/20</f>
        <v>1.65</v>
      </c>
      <c r="E42" s="20">
        <f>0.22*C42/20</f>
        <v>0.275</v>
      </c>
      <c r="F42" s="20">
        <f>8.2*C42/20</f>
        <v>10.249999999999998</v>
      </c>
      <c r="G42" s="25">
        <f>40*C42/20</f>
        <v>50</v>
      </c>
      <c r="H42" s="70" t="s">
        <v>44</v>
      </c>
    </row>
    <row r="43" spans="1:8" ht="15.75">
      <c r="A43" s="166"/>
      <c r="B43" s="48" t="s">
        <v>33</v>
      </c>
      <c r="C43" s="74">
        <v>25</v>
      </c>
      <c r="D43" s="20">
        <f>2.28*C43/30</f>
        <v>1.8999999999999997</v>
      </c>
      <c r="E43" s="20">
        <f>0.24*C43/30</f>
        <v>0.2</v>
      </c>
      <c r="F43" s="20">
        <f>14.76*C43/30</f>
        <v>12.3</v>
      </c>
      <c r="G43" s="20">
        <f>70.5*C43/30</f>
        <v>58.75</v>
      </c>
      <c r="H43" s="70" t="s">
        <v>43</v>
      </c>
    </row>
    <row r="44" spans="1:8" ht="15.75">
      <c r="A44" s="169" t="s">
        <v>13</v>
      </c>
      <c r="B44" s="169"/>
      <c r="C44" s="121">
        <v>625</v>
      </c>
      <c r="D44" s="26">
        <f>SUM(D37:D43)</f>
        <v>23.62557416666666</v>
      </c>
      <c r="E44" s="26">
        <f>SUM(E37:E43)</f>
        <v>21.85164133333333</v>
      </c>
      <c r="F44" s="26">
        <f>SUM(F37:F43)</f>
        <v>81.64489716666667</v>
      </c>
      <c r="G44" s="26">
        <f>SUM(G37:G43)</f>
        <v>590.3866666666668</v>
      </c>
      <c r="H44" s="70"/>
    </row>
    <row r="45" spans="1:8" ht="38.25">
      <c r="A45" s="165" t="s">
        <v>69</v>
      </c>
      <c r="B45" s="63" t="s">
        <v>119</v>
      </c>
      <c r="C45" s="78" t="s">
        <v>215</v>
      </c>
      <c r="D45" s="5">
        <v>12.0216622</v>
      </c>
      <c r="E45" s="5">
        <v>12.6157128</v>
      </c>
      <c r="F45" s="5">
        <v>69.97005770000001</v>
      </c>
      <c r="G45" s="25">
        <v>441</v>
      </c>
      <c r="H45" s="85" t="s">
        <v>190</v>
      </c>
    </row>
    <row r="46" spans="1:8" ht="15.75">
      <c r="A46" s="165"/>
      <c r="B46" s="49" t="s">
        <v>102</v>
      </c>
      <c r="C46" s="78" t="s">
        <v>37</v>
      </c>
      <c r="D46" s="5">
        <f>0.0376*C46/180</f>
        <v>0.0376</v>
      </c>
      <c r="E46" s="5">
        <f>0.008976*C46/180</f>
        <v>0.008976</v>
      </c>
      <c r="F46" s="5">
        <f>6.81863*C46/180</f>
        <v>6.81863</v>
      </c>
      <c r="G46" s="25">
        <f>29.34*C46/180</f>
        <v>29.34</v>
      </c>
      <c r="H46" s="85" t="s">
        <v>181</v>
      </c>
    </row>
    <row r="47" spans="1:8" ht="15.75">
      <c r="A47" s="165"/>
      <c r="B47" s="53" t="s">
        <v>135</v>
      </c>
      <c r="C47" s="23">
        <v>30</v>
      </c>
      <c r="D47" s="29">
        <v>0.4</v>
      </c>
      <c r="E47" s="29">
        <v>0.4</v>
      </c>
      <c r="F47" s="29">
        <v>9.8</v>
      </c>
      <c r="G47" s="29">
        <v>47</v>
      </c>
      <c r="H47" s="70"/>
    </row>
    <row r="48" spans="1:8" ht="15.75">
      <c r="A48" s="171" t="s">
        <v>70</v>
      </c>
      <c r="B48" s="171"/>
      <c r="C48" s="30" t="s">
        <v>216</v>
      </c>
      <c r="D48" s="31">
        <f>SUM(D45:D47)</f>
        <v>12.4592622</v>
      </c>
      <c r="E48" s="31">
        <f>SUM(E45:E47)</f>
        <v>13.024688800000002</v>
      </c>
      <c r="F48" s="31">
        <f>SUM(F45:F47)</f>
        <v>86.58868770000001</v>
      </c>
      <c r="G48" s="31">
        <f>SUM(G45:G47)</f>
        <v>517.3399999999999</v>
      </c>
      <c r="H48" s="32"/>
    </row>
    <row r="49" spans="1:8" ht="15.75">
      <c r="A49" s="172" t="s">
        <v>29</v>
      </c>
      <c r="B49" s="172"/>
      <c r="C49" s="33"/>
      <c r="D49" s="34">
        <f>D35+D36+D44+D48</f>
        <v>50.20659881827956</v>
      </c>
      <c r="E49" s="34">
        <f>E35+E36+E44+E48</f>
        <v>48.95379026236559</v>
      </c>
      <c r="F49" s="34">
        <f>F35+F36+F44+F48</f>
        <v>230.1376449311828</v>
      </c>
      <c r="G49" s="34">
        <f>G35+G36+G44+G48</f>
        <v>1515.1414814814816</v>
      </c>
      <c r="H49" s="80"/>
    </row>
    <row r="50" spans="1:8" ht="15.75">
      <c r="A50" s="168" t="s">
        <v>26</v>
      </c>
      <c r="B50" s="168"/>
      <c r="C50" s="168"/>
      <c r="D50" s="168"/>
      <c r="E50" s="168"/>
      <c r="F50" s="168"/>
      <c r="G50" s="168"/>
      <c r="H50" s="168"/>
    </row>
    <row r="51" spans="1:8" ht="25.5">
      <c r="A51" s="166" t="s">
        <v>9</v>
      </c>
      <c r="B51" s="16" t="s">
        <v>174</v>
      </c>
      <c r="C51" s="23">
        <v>145</v>
      </c>
      <c r="D51" s="20">
        <f>3.9339*C51/150</f>
        <v>3.8027699999999998</v>
      </c>
      <c r="E51" s="20">
        <f>1.73184*C51/150</f>
        <v>1.674112</v>
      </c>
      <c r="F51" s="20">
        <f>27.28908*C51/150</f>
        <v>26.379443999999996</v>
      </c>
      <c r="G51" s="20">
        <f>140.4*C51/150</f>
        <v>135.72</v>
      </c>
      <c r="H51" s="129" t="s">
        <v>53</v>
      </c>
    </row>
    <row r="52" spans="1:8" ht="25.5">
      <c r="A52" s="166"/>
      <c r="B52" s="16" t="s">
        <v>104</v>
      </c>
      <c r="C52" s="78" t="s">
        <v>217</v>
      </c>
      <c r="D52" s="25">
        <v>6.52</v>
      </c>
      <c r="E52" s="25">
        <v>9.25</v>
      </c>
      <c r="F52" s="25">
        <v>21.965</v>
      </c>
      <c r="G52" s="25">
        <v>198.6</v>
      </c>
      <c r="H52" s="73" t="s">
        <v>38</v>
      </c>
    </row>
    <row r="53" spans="1:8" ht="15.75">
      <c r="A53" s="166"/>
      <c r="B53" s="16" t="s">
        <v>108</v>
      </c>
      <c r="C53" s="9">
        <v>180</v>
      </c>
      <c r="D53" s="27">
        <f>1.551*C53/200</f>
        <v>1.3959000000000001</v>
      </c>
      <c r="E53" s="27">
        <f>1.58488*C53/200</f>
        <v>1.426392</v>
      </c>
      <c r="F53" s="27">
        <f>2.1749*C53/200</f>
        <v>1.95741</v>
      </c>
      <c r="G53" s="27">
        <f>29.16752*C53/200</f>
        <v>26.250767999999997</v>
      </c>
      <c r="H53" s="10" t="s">
        <v>81</v>
      </c>
    </row>
    <row r="54" spans="1:8" ht="15.75">
      <c r="A54" s="169" t="s">
        <v>10</v>
      </c>
      <c r="B54" s="169"/>
      <c r="C54" s="121">
        <v>325</v>
      </c>
      <c r="D54" s="22">
        <f>SUM(D51:D53)</f>
        <v>11.71867</v>
      </c>
      <c r="E54" s="22">
        <f>SUM(E51:E53)</f>
        <v>12.350504</v>
      </c>
      <c r="F54" s="22">
        <f>SUM(F51:F53)</f>
        <v>50.301854</v>
      </c>
      <c r="G54" s="22">
        <f>SUM(G51:G53)</f>
        <v>360.570768</v>
      </c>
      <c r="H54" s="70"/>
    </row>
    <row r="55" spans="1:8" ht="15.75">
      <c r="A55" s="126" t="s">
        <v>23</v>
      </c>
      <c r="B55" s="49" t="s">
        <v>63</v>
      </c>
      <c r="C55" s="121">
        <v>150</v>
      </c>
      <c r="D55" s="22">
        <v>0.4</v>
      </c>
      <c r="E55" s="22">
        <v>0.4</v>
      </c>
      <c r="F55" s="22">
        <v>9.8</v>
      </c>
      <c r="G55" s="22">
        <v>47</v>
      </c>
      <c r="H55" s="70" t="s">
        <v>46</v>
      </c>
    </row>
    <row r="56" spans="1:8" ht="15.75">
      <c r="A56" s="166" t="s">
        <v>51</v>
      </c>
      <c r="B56" s="48" t="s">
        <v>136</v>
      </c>
      <c r="C56" s="35">
        <v>35</v>
      </c>
      <c r="D56" s="25">
        <f>0.2584*C56/30</f>
        <v>0.30146666666666666</v>
      </c>
      <c r="E56" s="25">
        <f>2.842748*C56/30</f>
        <v>3.316539333333333</v>
      </c>
      <c r="F56" s="25">
        <f>0.841568*C56/30</f>
        <v>0.9818293333333333</v>
      </c>
      <c r="G56" s="25">
        <f>29.9*C56/30</f>
        <v>34.88333333333333</v>
      </c>
      <c r="H56" s="70" t="s">
        <v>183</v>
      </c>
    </row>
    <row r="57" spans="1:8" ht="51">
      <c r="A57" s="166"/>
      <c r="B57" s="16" t="s">
        <v>137</v>
      </c>
      <c r="C57" s="74">
        <v>200</v>
      </c>
      <c r="D57" s="20">
        <v>4.5</v>
      </c>
      <c r="E57" s="20">
        <v>7.41</v>
      </c>
      <c r="F57" s="20">
        <v>7.2</v>
      </c>
      <c r="G57" s="20">
        <v>113.74</v>
      </c>
      <c r="H57" s="120" t="s">
        <v>68</v>
      </c>
    </row>
    <row r="58" spans="1:8" ht="25.5">
      <c r="A58" s="166"/>
      <c r="B58" s="16" t="s">
        <v>196</v>
      </c>
      <c r="C58" s="9">
        <v>60</v>
      </c>
      <c r="D58" s="7">
        <f>11.63344*C58/50</f>
        <v>13.960128</v>
      </c>
      <c r="E58" s="7">
        <f>11.01056*C58/50</f>
        <v>13.212672</v>
      </c>
      <c r="F58" s="7">
        <v>0</v>
      </c>
      <c r="G58" s="7">
        <f>145.6288*C58/50</f>
        <v>174.75456000000003</v>
      </c>
      <c r="H58" s="85" t="s">
        <v>192</v>
      </c>
    </row>
    <row r="59" spans="1:8" ht="25.5">
      <c r="A59" s="166"/>
      <c r="B59" s="16" t="s">
        <v>138</v>
      </c>
      <c r="C59" s="35">
        <v>110</v>
      </c>
      <c r="D59" s="25">
        <f>2.45*C59/120</f>
        <v>2.245833333333333</v>
      </c>
      <c r="E59" s="25">
        <f>3.43*C59/120</f>
        <v>3.1441666666666666</v>
      </c>
      <c r="F59" s="25">
        <f>16.05*C59/120</f>
        <v>14.7125</v>
      </c>
      <c r="G59" s="25">
        <f>95*C59/120</f>
        <v>87.08333333333333</v>
      </c>
      <c r="H59" s="85" t="s">
        <v>74</v>
      </c>
    </row>
    <row r="60" spans="1:8" ht="25.5">
      <c r="A60" s="166"/>
      <c r="B60" s="51" t="s">
        <v>110</v>
      </c>
      <c r="C60" s="23">
        <v>180</v>
      </c>
      <c r="D60" s="20">
        <f>0.41*C60/150</f>
        <v>0.492</v>
      </c>
      <c r="E60" s="20">
        <f>0.06*C60/150</f>
        <v>0.072</v>
      </c>
      <c r="F60" s="20">
        <f>17.01*C60/150</f>
        <v>20.412000000000003</v>
      </c>
      <c r="G60" s="20">
        <f>70.15*C60/150</f>
        <v>84.18</v>
      </c>
      <c r="H60" s="70" t="s">
        <v>45</v>
      </c>
    </row>
    <row r="61" spans="1:8" ht="15.75">
      <c r="A61" s="166"/>
      <c r="B61" s="48" t="s">
        <v>12</v>
      </c>
      <c r="C61" s="23">
        <v>25</v>
      </c>
      <c r="D61" s="20">
        <f>1.32*C61/20</f>
        <v>1.65</v>
      </c>
      <c r="E61" s="20">
        <f>0.22*C61/20</f>
        <v>0.275</v>
      </c>
      <c r="F61" s="20">
        <f>8.2*C61/20</f>
        <v>10.249999999999998</v>
      </c>
      <c r="G61" s="25">
        <f>40*C61/20</f>
        <v>50</v>
      </c>
      <c r="H61" s="70" t="s">
        <v>44</v>
      </c>
    </row>
    <row r="62" spans="1:8" ht="15.75">
      <c r="A62" s="166"/>
      <c r="B62" s="48" t="s">
        <v>33</v>
      </c>
      <c r="C62" s="74">
        <v>25</v>
      </c>
      <c r="D62" s="20">
        <f>2.28*C62/30</f>
        <v>1.8999999999999997</v>
      </c>
      <c r="E62" s="20">
        <f>0.24*C62/30</f>
        <v>0.2</v>
      </c>
      <c r="F62" s="20">
        <f>14.76*C62/30</f>
        <v>12.3</v>
      </c>
      <c r="G62" s="20">
        <f>70.5*C62/30</f>
        <v>58.75</v>
      </c>
      <c r="H62" s="70" t="s">
        <v>43</v>
      </c>
    </row>
    <row r="63" spans="1:8" ht="15.75">
      <c r="A63" s="173" t="s">
        <v>13</v>
      </c>
      <c r="B63" s="173"/>
      <c r="C63" s="121">
        <v>700</v>
      </c>
      <c r="D63" s="26">
        <f>D56+D57+D58+D59+D60+D61+D62</f>
        <v>25.049428</v>
      </c>
      <c r="E63" s="26">
        <f>E56+E57+E58+E59+E60+E61+E62</f>
        <v>27.630377999999997</v>
      </c>
      <c r="F63" s="26">
        <f>F56+F57+F58+F59+F60+F61+F62</f>
        <v>65.85632933333333</v>
      </c>
      <c r="G63" s="26">
        <f>G56+G57+G58+G59+G60+G61+G62</f>
        <v>603.3912266666666</v>
      </c>
      <c r="H63" s="70"/>
    </row>
    <row r="64" spans="1:8" ht="25.5">
      <c r="A64" s="165" t="s">
        <v>69</v>
      </c>
      <c r="B64" s="63" t="s">
        <v>197</v>
      </c>
      <c r="C64" s="35">
        <v>150</v>
      </c>
      <c r="D64" s="25">
        <v>19.59218</v>
      </c>
      <c r="E64" s="25">
        <v>8.916239999999998</v>
      </c>
      <c r="F64" s="25">
        <v>42.11626</v>
      </c>
      <c r="G64" s="25">
        <v>323</v>
      </c>
      <c r="H64" s="85" t="s">
        <v>75</v>
      </c>
    </row>
    <row r="65" spans="1:8" ht="15.75">
      <c r="A65" s="165"/>
      <c r="B65" s="49" t="s">
        <v>195</v>
      </c>
      <c r="C65" s="35">
        <v>180</v>
      </c>
      <c r="D65" s="25">
        <f>4.8*C65/150</f>
        <v>5.76</v>
      </c>
      <c r="E65" s="25">
        <f>3.75*C65/150</f>
        <v>4.5</v>
      </c>
      <c r="F65" s="25">
        <f>6.75*C65/150</f>
        <v>8.1</v>
      </c>
      <c r="G65" s="25">
        <f>79.5*C65/150</f>
        <v>95.4</v>
      </c>
      <c r="H65" s="85" t="s">
        <v>188</v>
      </c>
    </row>
    <row r="66" spans="1:8" ht="15.75">
      <c r="A66" s="165"/>
      <c r="B66" s="48" t="s">
        <v>12</v>
      </c>
      <c r="C66" s="23">
        <v>25</v>
      </c>
      <c r="D66" s="20">
        <f>1.32*C66/20</f>
        <v>1.65</v>
      </c>
      <c r="E66" s="20">
        <f>0.22*C66/20</f>
        <v>0.275</v>
      </c>
      <c r="F66" s="20">
        <f>8.2*C66/20</f>
        <v>10.249999999999998</v>
      </c>
      <c r="G66" s="25">
        <f>40*C66/20</f>
        <v>50</v>
      </c>
      <c r="H66" s="70" t="s">
        <v>44</v>
      </c>
    </row>
    <row r="67" spans="1:8" ht="15.75">
      <c r="A67" s="174" t="s">
        <v>70</v>
      </c>
      <c r="B67" s="174"/>
      <c r="C67" s="122">
        <v>340</v>
      </c>
      <c r="D67" s="31">
        <f>SUM(D64:D66)</f>
        <v>27.002179999999996</v>
      </c>
      <c r="E67" s="31">
        <f>SUM(E64:E66)</f>
        <v>13.691239999999999</v>
      </c>
      <c r="F67" s="31">
        <f>SUM(F64:F66)</f>
        <v>60.46626</v>
      </c>
      <c r="G67" s="31">
        <f>SUM(G64:G66)</f>
        <v>468.4</v>
      </c>
      <c r="H67" s="70"/>
    </row>
    <row r="68" spans="1:8" ht="15.75">
      <c r="A68" s="81" t="s">
        <v>15</v>
      </c>
      <c r="B68" s="54"/>
      <c r="C68" s="82"/>
      <c r="D68" s="83">
        <f>D54+D55+D63+D67</f>
        <v>64.170278</v>
      </c>
      <c r="E68" s="83">
        <f>E54+E55+E63+E67</f>
        <v>54.072122</v>
      </c>
      <c r="F68" s="83">
        <f>F54+F55+F63+F67</f>
        <v>186.42444333333333</v>
      </c>
      <c r="G68" s="83">
        <f>G54+G55+G63+G67</f>
        <v>1479.3619946666668</v>
      </c>
      <c r="H68" s="84"/>
    </row>
    <row r="69" spans="1:8" ht="15.75">
      <c r="A69" s="168" t="s">
        <v>27</v>
      </c>
      <c r="B69" s="168"/>
      <c r="C69" s="168"/>
      <c r="D69" s="168"/>
      <c r="E69" s="168"/>
      <c r="F69" s="168"/>
      <c r="G69" s="168"/>
      <c r="H69" s="168"/>
    </row>
    <row r="70" spans="1:8" ht="25.5">
      <c r="A70" s="166" t="s">
        <v>9</v>
      </c>
      <c r="B70" s="16" t="s">
        <v>139</v>
      </c>
      <c r="C70" s="23">
        <v>145</v>
      </c>
      <c r="D70" s="20">
        <f>5.31476*C70/150</f>
        <v>5.137601333333333</v>
      </c>
      <c r="E70" s="20">
        <f>2.0152*C70/140</f>
        <v>2.0871714285714287</v>
      </c>
      <c r="F70" s="20">
        <f>24.51176*C70/140</f>
        <v>25.38718</v>
      </c>
      <c r="G70" s="25">
        <f>107.2*C70/140</f>
        <v>111.02857142857142</v>
      </c>
      <c r="H70" s="130" t="s">
        <v>64</v>
      </c>
    </row>
    <row r="71" spans="1:8" ht="15.75">
      <c r="A71" s="166"/>
      <c r="B71" s="48" t="s">
        <v>96</v>
      </c>
      <c r="C71" s="69" t="s">
        <v>217</v>
      </c>
      <c r="D71" s="20">
        <v>2.33</v>
      </c>
      <c r="E71" s="20">
        <v>8.12</v>
      </c>
      <c r="F71" s="20">
        <v>15.55</v>
      </c>
      <c r="G71" s="5">
        <v>144.7</v>
      </c>
      <c r="H71" s="35" t="s">
        <v>49</v>
      </c>
    </row>
    <row r="72" spans="1:8" ht="15.75">
      <c r="A72" s="166"/>
      <c r="B72" s="48" t="s">
        <v>140</v>
      </c>
      <c r="C72" s="21" t="s">
        <v>37</v>
      </c>
      <c r="D72" s="27">
        <f>1.62432*C72/150</f>
        <v>1.9491839999999998</v>
      </c>
      <c r="E72" s="27">
        <f>1.66144*C72/150</f>
        <v>1.9937280000000002</v>
      </c>
      <c r="F72" s="27">
        <f>9.03266*C72/150</f>
        <v>10.839191999999999</v>
      </c>
      <c r="G72" s="27">
        <f>57.58088*C72/150</f>
        <v>69.097056</v>
      </c>
      <c r="H72" s="131" t="s">
        <v>180</v>
      </c>
    </row>
    <row r="73" spans="1:8" ht="15.75">
      <c r="A73" s="169" t="s">
        <v>10</v>
      </c>
      <c r="B73" s="169"/>
      <c r="C73" s="121">
        <v>370</v>
      </c>
      <c r="D73" s="22">
        <f>SUM(D70:D72)</f>
        <v>9.416785333333333</v>
      </c>
      <c r="E73" s="22">
        <f>SUM(E70:E72)</f>
        <v>12.200899428571429</v>
      </c>
      <c r="F73" s="22">
        <f>SUM(F70:F72)</f>
        <v>51.776371999999995</v>
      </c>
      <c r="G73" s="22">
        <f>SUM(G70:G72)</f>
        <v>324.8256274285714</v>
      </c>
      <c r="H73" s="70"/>
    </row>
    <row r="74" spans="1:8" ht="15.75">
      <c r="A74" s="126" t="s">
        <v>22</v>
      </c>
      <c r="B74" s="49" t="s">
        <v>34</v>
      </c>
      <c r="C74" s="121">
        <v>100</v>
      </c>
      <c r="D74" s="36">
        <v>1.1</v>
      </c>
      <c r="E74" s="36">
        <v>0.3</v>
      </c>
      <c r="F74" s="36">
        <v>8.9</v>
      </c>
      <c r="G74" s="36">
        <v>44</v>
      </c>
      <c r="H74" s="70" t="s">
        <v>40</v>
      </c>
    </row>
    <row r="75" spans="1:8" ht="15.75">
      <c r="A75" s="175" t="s">
        <v>11</v>
      </c>
      <c r="B75" s="50" t="s">
        <v>141</v>
      </c>
      <c r="C75" s="23">
        <v>35</v>
      </c>
      <c r="D75" s="20">
        <v>0.45</v>
      </c>
      <c r="E75" s="20">
        <v>2.89</v>
      </c>
      <c r="F75" s="20">
        <v>1.58</v>
      </c>
      <c r="G75" s="20">
        <v>34.12</v>
      </c>
      <c r="H75" s="157" t="s">
        <v>208</v>
      </c>
    </row>
    <row r="76" spans="1:8" ht="25.5">
      <c r="A76" s="176"/>
      <c r="B76" s="16" t="s">
        <v>142</v>
      </c>
      <c r="C76" s="9">
        <v>200</v>
      </c>
      <c r="D76" s="13">
        <v>4.95568</v>
      </c>
      <c r="E76" s="13">
        <v>4.33488</v>
      </c>
      <c r="F76" s="13">
        <v>15.13148</v>
      </c>
      <c r="G76" s="13">
        <v>119.3</v>
      </c>
      <c r="H76" s="158" t="s">
        <v>214</v>
      </c>
    </row>
    <row r="77" spans="1:8" ht="25.5">
      <c r="A77" s="176"/>
      <c r="B77" s="48" t="s">
        <v>143</v>
      </c>
      <c r="C77" s="35">
        <v>60</v>
      </c>
      <c r="D77" s="25">
        <f>15.67*C77/160</f>
        <v>5.876250000000001</v>
      </c>
      <c r="E77" s="25">
        <f>14.94*C77/160</f>
        <v>5.6025</v>
      </c>
      <c r="F77" s="25">
        <f>13.48*C77/160</f>
        <v>5.055000000000001</v>
      </c>
      <c r="G77" s="25">
        <f>251.05*C77/160</f>
        <v>94.14375</v>
      </c>
      <c r="H77" s="70" t="s">
        <v>193</v>
      </c>
    </row>
    <row r="78" spans="1:8" ht="25.5">
      <c r="A78" s="176"/>
      <c r="B78" s="16" t="s">
        <v>109</v>
      </c>
      <c r="C78" s="35">
        <v>110</v>
      </c>
      <c r="D78" s="25">
        <f>2.45*C78/120</f>
        <v>2.245833333333333</v>
      </c>
      <c r="E78" s="25">
        <f>3.43*C78/120</f>
        <v>3.1441666666666666</v>
      </c>
      <c r="F78" s="25">
        <f>16.05*C78/120</f>
        <v>14.7125</v>
      </c>
      <c r="G78" s="25">
        <v>95</v>
      </c>
      <c r="H78" s="70" t="s">
        <v>42</v>
      </c>
    </row>
    <row r="79" spans="1:8" ht="15.75">
      <c r="A79" s="176"/>
      <c r="B79" s="48" t="s">
        <v>144</v>
      </c>
      <c r="C79" s="23">
        <v>180</v>
      </c>
      <c r="D79" s="20">
        <f>0.48*C79/150</f>
        <v>0.576</v>
      </c>
      <c r="E79" s="20">
        <f>0.2*C79/150</f>
        <v>0.24</v>
      </c>
      <c r="F79" s="20">
        <f>12.95*C79/150</f>
        <v>15.54</v>
      </c>
      <c r="G79" s="20">
        <f>55.52*C79/150</f>
        <v>66.62400000000001</v>
      </c>
      <c r="H79" s="85" t="s">
        <v>54</v>
      </c>
    </row>
    <row r="80" spans="1:8" ht="15.75">
      <c r="A80" s="176"/>
      <c r="B80" s="48" t="s">
        <v>12</v>
      </c>
      <c r="C80" s="23">
        <v>30</v>
      </c>
      <c r="D80" s="20">
        <f>1.32*C80/20</f>
        <v>1.98</v>
      </c>
      <c r="E80" s="20">
        <f>0.22*C80/20</f>
        <v>0.32999999999999996</v>
      </c>
      <c r="F80" s="20">
        <f>8.2*C80/20</f>
        <v>12.299999999999999</v>
      </c>
      <c r="G80" s="25">
        <f>40*C80/20</f>
        <v>60</v>
      </c>
      <c r="H80" s="70" t="s">
        <v>44</v>
      </c>
    </row>
    <row r="81" spans="1:8" ht="15.75">
      <c r="A81" s="177"/>
      <c r="B81" s="48" t="s">
        <v>33</v>
      </c>
      <c r="C81" s="74">
        <v>30</v>
      </c>
      <c r="D81" s="20">
        <f>2.28*C81/30</f>
        <v>2.28</v>
      </c>
      <c r="E81" s="20">
        <f>0.24*C81/30</f>
        <v>0.23999999999999996</v>
      </c>
      <c r="F81" s="20">
        <f>14.76*C81/30</f>
        <v>14.76</v>
      </c>
      <c r="G81" s="20">
        <f>70.5*C81/30</f>
        <v>70.5</v>
      </c>
      <c r="H81" s="70" t="s">
        <v>43</v>
      </c>
    </row>
    <row r="82" spans="1:8" ht="15.75">
      <c r="A82" s="178" t="s">
        <v>13</v>
      </c>
      <c r="B82" s="179"/>
      <c r="C82" s="121">
        <v>810</v>
      </c>
      <c r="D82" s="26">
        <f>SUM(D75:D81)</f>
        <v>18.363763333333335</v>
      </c>
      <c r="E82" s="26">
        <f>SUM(E75:E81)</f>
        <v>16.781546666666664</v>
      </c>
      <c r="F82" s="26">
        <f>SUM(F75:F81)</f>
        <v>79.07898</v>
      </c>
      <c r="G82" s="26">
        <f>SUM(G75:G81)</f>
        <v>539.68775</v>
      </c>
      <c r="H82" s="70"/>
    </row>
    <row r="83" spans="1:8" ht="44.25" customHeight="1">
      <c r="A83" s="165" t="s">
        <v>69</v>
      </c>
      <c r="B83" s="99" t="s">
        <v>145</v>
      </c>
      <c r="C83" s="1">
        <v>145</v>
      </c>
      <c r="D83" s="3">
        <v>17.07</v>
      </c>
      <c r="E83" s="3">
        <v>12.58</v>
      </c>
      <c r="F83" s="3">
        <v>25.44</v>
      </c>
      <c r="G83" s="3">
        <v>283.36</v>
      </c>
      <c r="H83" s="98" t="s">
        <v>73</v>
      </c>
    </row>
    <row r="84" spans="1:8" ht="15.75">
      <c r="A84" s="165"/>
      <c r="B84" s="48" t="s">
        <v>100</v>
      </c>
      <c r="C84" s="23">
        <v>180</v>
      </c>
      <c r="D84" s="20">
        <f>0.23*C84/180</f>
        <v>0.22999999999999998</v>
      </c>
      <c r="E84" s="20">
        <f>0.05*C84/180</f>
        <v>0.05</v>
      </c>
      <c r="F84" s="20">
        <f>6.98*C84/180</f>
        <v>6.98</v>
      </c>
      <c r="G84" s="25">
        <f>29.34*C84/180</f>
        <v>29.34</v>
      </c>
      <c r="H84" s="85" t="s">
        <v>52</v>
      </c>
    </row>
    <row r="85" spans="1:8" ht="15.75">
      <c r="A85" s="165"/>
      <c r="B85" s="48" t="s">
        <v>33</v>
      </c>
      <c r="C85" s="74">
        <v>30</v>
      </c>
      <c r="D85" s="20">
        <f>2.28*C85/30</f>
        <v>2.28</v>
      </c>
      <c r="E85" s="20">
        <f>0.24*C85/30</f>
        <v>0.23999999999999996</v>
      </c>
      <c r="F85" s="20">
        <f>14.76*C85/30</f>
        <v>14.76</v>
      </c>
      <c r="G85" s="20">
        <f>70.5*C85/30</f>
        <v>70.5</v>
      </c>
      <c r="H85" s="70" t="s">
        <v>43</v>
      </c>
    </row>
    <row r="86" spans="1:8" ht="15.75">
      <c r="A86" s="165"/>
      <c r="B86" s="48" t="s">
        <v>12</v>
      </c>
      <c r="C86" s="23">
        <v>30</v>
      </c>
      <c r="D86" s="20">
        <f>1.32*C86/20</f>
        <v>1.98</v>
      </c>
      <c r="E86" s="20">
        <f>0.22*C86/20</f>
        <v>0.32999999999999996</v>
      </c>
      <c r="F86" s="20">
        <f>8.2*C86/20</f>
        <v>12.299999999999999</v>
      </c>
      <c r="G86" s="25">
        <f>40*C86/20</f>
        <v>60</v>
      </c>
      <c r="H86" s="70" t="s">
        <v>44</v>
      </c>
    </row>
    <row r="87" spans="1:8" ht="15.75">
      <c r="A87" s="165"/>
      <c r="B87" s="135" t="s">
        <v>70</v>
      </c>
      <c r="C87" s="153">
        <v>385</v>
      </c>
      <c r="D87" s="26">
        <f>SUM(D83:D86)</f>
        <v>21.560000000000002</v>
      </c>
      <c r="E87" s="26">
        <f>SUM(E83:E86)</f>
        <v>13.200000000000001</v>
      </c>
      <c r="F87" s="26">
        <f>SUM(F83:F86)</f>
        <v>59.48</v>
      </c>
      <c r="G87" s="26">
        <f>SUM(G83:G86)</f>
        <v>443.2</v>
      </c>
      <c r="H87" s="70"/>
    </row>
    <row r="88" spans="1:8" ht="15.75">
      <c r="A88" s="136" t="s">
        <v>16</v>
      </c>
      <c r="B88" s="180"/>
      <c r="C88" s="181"/>
      <c r="D88" s="34">
        <f>D73+D74+D82+D87</f>
        <v>50.44054866666667</v>
      </c>
      <c r="E88" s="34">
        <f>E73+E74+E82+E87</f>
        <v>42.482446095238096</v>
      </c>
      <c r="F88" s="34">
        <f>F73+F74+F82+F87</f>
        <v>199.23535199999998</v>
      </c>
      <c r="G88" s="34">
        <f>G73+G74+G82+G87</f>
        <v>1351.7133774285714</v>
      </c>
      <c r="H88" s="87"/>
    </row>
    <row r="89" spans="1:8" ht="18.75" customHeight="1">
      <c r="A89" s="137" t="s">
        <v>28</v>
      </c>
      <c r="B89" s="138"/>
      <c r="C89" s="124"/>
      <c r="D89" s="124"/>
      <c r="E89" s="124"/>
      <c r="F89" s="124"/>
      <c r="G89" s="124"/>
      <c r="H89" s="124"/>
    </row>
    <row r="90" spans="1:8" ht="31.5" customHeight="1">
      <c r="A90" s="175" t="s">
        <v>9</v>
      </c>
      <c r="B90" s="16" t="s">
        <v>146</v>
      </c>
      <c r="C90" s="23">
        <v>145</v>
      </c>
      <c r="D90" s="20">
        <f>4.8645*C90/150</f>
        <v>4.70235</v>
      </c>
      <c r="E90" s="20">
        <f>2.4552*C90/150</f>
        <v>2.37336</v>
      </c>
      <c r="F90" s="20">
        <f>23.78649*C90/150</f>
        <v>22.993607</v>
      </c>
      <c r="G90" s="25">
        <f>109.3*C90/140</f>
        <v>113.20357142857142</v>
      </c>
      <c r="H90" s="129" t="s">
        <v>80</v>
      </c>
    </row>
    <row r="91" spans="1:8" ht="15.75">
      <c r="A91" s="176"/>
      <c r="B91" s="48" t="s">
        <v>96</v>
      </c>
      <c r="C91" s="69" t="s">
        <v>217</v>
      </c>
      <c r="D91" s="20">
        <v>2.33</v>
      </c>
      <c r="E91" s="20">
        <v>8.12</v>
      </c>
      <c r="F91" s="20">
        <v>15.55</v>
      </c>
      <c r="G91" s="5">
        <v>144.7</v>
      </c>
      <c r="H91" s="35" t="s">
        <v>49</v>
      </c>
    </row>
    <row r="92" spans="1:8" ht="33" customHeight="1">
      <c r="A92" s="176"/>
      <c r="B92" s="48" t="s">
        <v>97</v>
      </c>
      <c r="C92" s="21" t="s">
        <v>37</v>
      </c>
      <c r="D92" s="27">
        <f>1.62432*C92/150</f>
        <v>1.9491839999999998</v>
      </c>
      <c r="E92" s="27">
        <f>1.66144*C92/150</f>
        <v>1.9937280000000002</v>
      </c>
      <c r="F92" s="27">
        <f>9.03266*C92/150</f>
        <v>10.839191999999999</v>
      </c>
      <c r="G92" s="27">
        <f>57.58088*C92/150</f>
        <v>69.097056</v>
      </c>
      <c r="H92" s="10" t="s">
        <v>77</v>
      </c>
    </row>
    <row r="93" spans="1:8" ht="15.75">
      <c r="A93" s="177"/>
      <c r="B93" s="125" t="s">
        <v>10</v>
      </c>
      <c r="C93" s="71" t="s">
        <v>218</v>
      </c>
      <c r="D93" s="22">
        <f>SUM(D90:D92)</f>
        <v>8.981534</v>
      </c>
      <c r="E93" s="22">
        <f>SUM(E90:E92)</f>
        <v>12.487088</v>
      </c>
      <c r="F93" s="22">
        <f>SUM(F90:F92)</f>
        <v>49.382799</v>
      </c>
      <c r="G93" s="22">
        <f>SUM(G90:G92)</f>
        <v>327.0006274285714</v>
      </c>
      <c r="H93" s="70"/>
    </row>
    <row r="94" spans="1:8" ht="15.75">
      <c r="A94" s="182" t="s">
        <v>169</v>
      </c>
      <c r="B94" s="126"/>
      <c r="C94" s="37"/>
      <c r="D94" s="103"/>
      <c r="E94" s="103"/>
      <c r="F94" s="103"/>
      <c r="G94" s="103"/>
      <c r="H94" s="114"/>
    </row>
    <row r="95" spans="1:8" ht="15.75">
      <c r="A95" s="183"/>
      <c r="B95" s="16" t="s">
        <v>35</v>
      </c>
      <c r="C95" s="37">
        <v>180</v>
      </c>
      <c r="D95" s="103">
        <f>4.05*C95/150</f>
        <v>4.86</v>
      </c>
      <c r="E95" s="103">
        <f>4.5*C95/150</f>
        <v>5.4</v>
      </c>
      <c r="F95" s="103">
        <f>6.6*C95/150</f>
        <v>7.92</v>
      </c>
      <c r="G95" s="103">
        <f>81*C95/150</f>
        <v>97.2</v>
      </c>
      <c r="H95" s="85" t="s">
        <v>46</v>
      </c>
    </row>
    <row r="96" spans="1:8" ht="15.75">
      <c r="A96" s="175" t="s">
        <v>11</v>
      </c>
      <c r="B96" s="16"/>
      <c r="C96" s="37"/>
      <c r="D96" s="103"/>
      <c r="E96" s="103"/>
      <c r="F96" s="103"/>
      <c r="G96" s="103"/>
      <c r="H96" s="114"/>
    </row>
    <row r="97" spans="1:8" ht="15.75">
      <c r="A97" s="176"/>
      <c r="B97" s="16" t="s">
        <v>186</v>
      </c>
      <c r="C97" s="9">
        <v>35</v>
      </c>
      <c r="D97" s="104">
        <f>0.4*C97/50</f>
        <v>0.28</v>
      </c>
      <c r="E97" s="104">
        <f>0.05*C97/50</f>
        <v>0.035</v>
      </c>
      <c r="F97" s="104">
        <f>0.85*C97/50</f>
        <v>0.595</v>
      </c>
      <c r="G97" s="105">
        <f>6.5*C97/50</f>
        <v>4.55</v>
      </c>
      <c r="H97" s="131" t="s">
        <v>187</v>
      </c>
    </row>
    <row r="98" spans="1:8" ht="51" customHeight="1">
      <c r="A98" s="176"/>
      <c r="B98" s="63" t="s">
        <v>113</v>
      </c>
      <c r="C98" s="23">
        <v>200</v>
      </c>
      <c r="D98" s="29">
        <v>4.55</v>
      </c>
      <c r="E98" s="29">
        <v>7.21</v>
      </c>
      <c r="F98" s="29">
        <v>10.33</v>
      </c>
      <c r="G98" s="29">
        <v>124.44</v>
      </c>
      <c r="H98" s="35" t="s">
        <v>41</v>
      </c>
    </row>
    <row r="99" spans="1:8" ht="39" customHeight="1">
      <c r="A99" s="176"/>
      <c r="B99" s="55" t="s">
        <v>147</v>
      </c>
      <c r="C99" s="6">
        <v>60</v>
      </c>
      <c r="D99" s="27">
        <f>7.63844*C99/50</f>
        <v>9.166128</v>
      </c>
      <c r="E99" s="27">
        <f>7.97192*C99/50</f>
        <v>9.566304</v>
      </c>
      <c r="F99" s="27">
        <f>7.10073*C99/50</f>
        <v>8.520876000000001</v>
      </c>
      <c r="G99" s="27">
        <f>130.70396*C99/50</f>
        <v>156.844752</v>
      </c>
      <c r="H99" s="131" t="s">
        <v>83</v>
      </c>
    </row>
    <row r="100" spans="1:8" ht="25.5">
      <c r="A100" s="176"/>
      <c r="B100" s="16" t="s">
        <v>148</v>
      </c>
      <c r="C100" s="74">
        <v>110</v>
      </c>
      <c r="D100" s="5">
        <v>4.73</v>
      </c>
      <c r="E100" s="5">
        <v>2.75</v>
      </c>
      <c r="F100" s="5">
        <v>29.23</v>
      </c>
      <c r="G100" s="29">
        <v>160.63</v>
      </c>
      <c r="H100" s="120" t="s">
        <v>57</v>
      </c>
    </row>
    <row r="101" spans="1:8" ht="25.5">
      <c r="A101" s="176"/>
      <c r="B101" s="51" t="s">
        <v>110</v>
      </c>
      <c r="C101" s="23">
        <v>180</v>
      </c>
      <c r="D101" s="20">
        <f>0.41*C101/150</f>
        <v>0.492</v>
      </c>
      <c r="E101" s="20">
        <f>0.06*C101/150</f>
        <v>0.072</v>
      </c>
      <c r="F101" s="20">
        <f>17.01*C101/150</f>
        <v>20.412000000000003</v>
      </c>
      <c r="G101" s="20">
        <f>70.15*C101/150</f>
        <v>84.18</v>
      </c>
      <c r="H101" s="70" t="s">
        <v>45</v>
      </c>
    </row>
    <row r="102" spans="1:8" ht="15.75">
      <c r="A102" s="176"/>
      <c r="B102" s="48" t="s">
        <v>12</v>
      </c>
      <c r="C102" s="23">
        <v>25</v>
      </c>
      <c r="D102" s="20">
        <f>1.32*C102/20</f>
        <v>1.65</v>
      </c>
      <c r="E102" s="20">
        <f>0.22*C102/20</f>
        <v>0.275</v>
      </c>
      <c r="F102" s="20">
        <f>8.2*C102/20</f>
        <v>10.249999999999998</v>
      </c>
      <c r="G102" s="25">
        <f>40*C102/20</f>
        <v>50</v>
      </c>
      <c r="H102" s="70" t="s">
        <v>44</v>
      </c>
    </row>
    <row r="103" spans="1:8" ht="15.75">
      <c r="A103" s="177"/>
      <c r="B103" s="48" t="s">
        <v>33</v>
      </c>
      <c r="C103" s="74">
        <v>25</v>
      </c>
      <c r="D103" s="20">
        <f>2.28*C103/30</f>
        <v>1.8999999999999997</v>
      </c>
      <c r="E103" s="20">
        <f>0.24*C103/30</f>
        <v>0.2</v>
      </c>
      <c r="F103" s="20">
        <f>14.76*C103/30</f>
        <v>12.3</v>
      </c>
      <c r="G103" s="20">
        <f>70.5*C103/30</f>
        <v>58.75</v>
      </c>
      <c r="H103" s="70" t="s">
        <v>43</v>
      </c>
    </row>
    <row r="104" spans="1:8" ht="15.75">
      <c r="A104" s="184" t="s">
        <v>17</v>
      </c>
      <c r="B104" s="185"/>
      <c r="C104" s="121">
        <v>635</v>
      </c>
      <c r="D104" s="26">
        <f>SUM(D97:D103)</f>
        <v>22.768128</v>
      </c>
      <c r="E104" s="26">
        <f>SUM(E97:E103)</f>
        <v>20.108303999999997</v>
      </c>
      <c r="F104" s="26">
        <f>SUM(F97:F103)</f>
        <v>91.637876</v>
      </c>
      <c r="G104" s="26">
        <f>SUM(G97:G103)</f>
        <v>639.3947519999999</v>
      </c>
      <c r="H104" s="70"/>
    </row>
    <row r="105" spans="1:8" ht="25.5">
      <c r="A105" s="186" t="s">
        <v>69</v>
      </c>
      <c r="B105" s="63" t="s">
        <v>149</v>
      </c>
      <c r="C105" s="78" t="s">
        <v>219</v>
      </c>
      <c r="D105" s="5">
        <v>23.903654399999997</v>
      </c>
      <c r="E105" s="5">
        <v>8.409667199999998</v>
      </c>
      <c r="F105" s="5">
        <v>37.4664576</v>
      </c>
      <c r="G105" s="25">
        <v>317.6</v>
      </c>
      <c r="H105" s="132" t="s">
        <v>116</v>
      </c>
    </row>
    <row r="106" spans="1:8" ht="39" customHeight="1">
      <c r="A106" s="187"/>
      <c r="B106" s="52" t="s">
        <v>178</v>
      </c>
      <c r="C106" s="6">
        <v>110</v>
      </c>
      <c r="D106" s="27">
        <f>14.2*C106/160</f>
        <v>9.7625</v>
      </c>
      <c r="E106" s="27">
        <f>11.49*C106/160</f>
        <v>7.899375000000001</v>
      </c>
      <c r="F106" s="27">
        <f>13.81*C106/160</f>
        <v>9.494375000000002</v>
      </c>
      <c r="G106" s="27">
        <f>215.49*C106/160</f>
        <v>148.14937500000002</v>
      </c>
      <c r="H106" s="132" t="s">
        <v>58</v>
      </c>
    </row>
    <row r="107" spans="1:8" ht="15.75">
      <c r="A107" s="187"/>
      <c r="B107" s="48" t="s">
        <v>12</v>
      </c>
      <c r="C107" s="23">
        <v>25</v>
      </c>
      <c r="D107" s="20">
        <f>1.32*C107/20</f>
        <v>1.65</v>
      </c>
      <c r="E107" s="20">
        <f>0.22*C107/20</f>
        <v>0.275</v>
      </c>
      <c r="F107" s="20">
        <f>8.2*C107/20</f>
        <v>10.249999999999998</v>
      </c>
      <c r="G107" s="25">
        <f>40*C107/20</f>
        <v>50</v>
      </c>
      <c r="H107" s="70" t="s">
        <v>44</v>
      </c>
    </row>
    <row r="108" spans="1:8" ht="15.75" customHeight="1">
      <c r="A108" s="187"/>
      <c r="B108" s="49" t="s">
        <v>107</v>
      </c>
      <c r="C108" s="78" t="s">
        <v>37</v>
      </c>
      <c r="D108" s="5">
        <f>0.0376*C108/180</f>
        <v>0.0376</v>
      </c>
      <c r="E108" s="5">
        <f>0.008976*C108/180</f>
        <v>0.008976</v>
      </c>
      <c r="F108" s="5">
        <f>6.81863*C108/180</f>
        <v>6.81863</v>
      </c>
      <c r="G108" s="25">
        <f>29.34*C108/180</f>
        <v>29.34</v>
      </c>
      <c r="H108" s="70" t="s">
        <v>39</v>
      </c>
    </row>
    <row r="109" spans="1:8" ht="15.75">
      <c r="A109" s="187"/>
      <c r="B109" s="123"/>
      <c r="C109" s="30" t="s">
        <v>202</v>
      </c>
      <c r="D109" s="31">
        <f>SUM(D105:D108)</f>
        <v>35.35375439999999</v>
      </c>
      <c r="E109" s="31">
        <f>SUM(E105:E108)</f>
        <v>16.5930182</v>
      </c>
      <c r="F109" s="31">
        <f>SUM(F105:F108)</f>
        <v>64.0294626</v>
      </c>
      <c r="G109" s="31">
        <f>SUM(G105:G108)</f>
        <v>545.0893750000001</v>
      </c>
      <c r="H109" s="73"/>
    </row>
    <row r="110" spans="1:8" ht="15.75">
      <c r="A110" s="188"/>
      <c r="B110" s="113" t="s">
        <v>203</v>
      </c>
      <c r="C110" s="33"/>
      <c r="D110" s="34">
        <f>D93+D96+D104+D109</f>
        <v>67.10341639999999</v>
      </c>
      <c r="E110" s="34">
        <f>E93+E96+E104+E109</f>
        <v>49.18841019999999</v>
      </c>
      <c r="F110" s="34">
        <f>F93+F96+F104+F109</f>
        <v>205.05013760000003</v>
      </c>
      <c r="G110" s="34">
        <f>G93+G96+G104+G109</f>
        <v>1511.4847544285715</v>
      </c>
      <c r="H110" s="80"/>
    </row>
    <row r="111" spans="1:8" ht="15.75">
      <c r="A111" s="189" t="s">
        <v>204</v>
      </c>
      <c r="B111" s="190"/>
      <c r="C111" s="112"/>
      <c r="D111" s="88">
        <f>(D110+D88+D68+D49+D30)/5</f>
        <v>57.43195119632257</v>
      </c>
      <c r="E111" s="88">
        <f>(E110+E88+E68+E49+E30)/5</f>
        <v>50.424225168854065</v>
      </c>
      <c r="F111" s="88">
        <f>(F110+F88+F68+F49+F30)/5</f>
        <v>204.76905587623656</v>
      </c>
      <c r="G111" s="88">
        <f>(G110+G88+G68+G49+G30)/5</f>
        <v>1467.3977239210583</v>
      </c>
      <c r="H111" s="89"/>
    </row>
    <row r="112" spans="1:8" ht="15.75">
      <c r="A112" s="139"/>
      <c r="B112" s="126"/>
      <c r="C112" s="126"/>
      <c r="D112" s="126"/>
      <c r="E112" s="126"/>
      <c r="F112" s="126"/>
      <c r="G112" s="126"/>
      <c r="H112" s="126"/>
    </row>
    <row r="113" spans="1:8" ht="15.75">
      <c r="A113" s="191" t="s">
        <v>209</v>
      </c>
      <c r="B113" s="192"/>
      <c r="C113" s="124"/>
      <c r="D113" s="124"/>
      <c r="E113" s="124"/>
      <c r="F113" s="124"/>
      <c r="G113" s="124"/>
      <c r="H113" s="124"/>
    </row>
    <row r="114" spans="1:8" ht="25.5">
      <c r="A114" s="175" t="s">
        <v>9</v>
      </c>
      <c r="B114" s="16" t="s">
        <v>139</v>
      </c>
      <c r="C114" s="35">
        <v>145</v>
      </c>
      <c r="D114" s="25">
        <f>3.720426*C114/130</f>
        <v>4.149705923076923</v>
      </c>
      <c r="E114" s="25">
        <f>2.028048*C114/130</f>
        <v>2.2620535384615383</v>
      </c>
      <c r="F114" s="25">
        <f>17.960488*C114/130</f>
        <v>20.032852000000002</v>
      </c>
      <c r="G114" s="25">
        <f>111.9*C114/140</f>
        <v>115.89642857142857</v>
      </c>
      <c r="H114" s="129" t="s">
        <v>64</v>
      </c>
    </row>
    <row r="115" spans="1:8" ht="27" customHeight="1">
      <c r="A115" s="176"/>
      <c r="B115" s="48" t="s">
        <v>96</v>
      </c>
      <c r="C115" s="69" t="s">
        <v>217</v>
      </c>
      <c r="D115" s="20">
        <v>2.33</v>
      </c>
      <c r="E115" s="20">
        <v>8.12</v>
      </c>
      <c r="F115" s="20">
        <v>15.55</v>
      </c>
      <c r="G115" s="5">
        <v>144.7</v>
      </c>
      <c r="H115" s="35" t="s">
        <v>49</v>
      </c>
    </row>
    <row r="116" spans="1:8" ht="25.5" customHeight="1">
      <c r="A116" s="176"/>
      <c r="B116" s="16" t="s">
        <v>105</v>
      </c>
      <c r="C116" s="23">
        <v>180</v>
      </c>
      <c r="D116" s="25">
        <f>2.46*C116/180</f>
        <v>2.46</v>
      </c>
      <c r="E116" s="25">
        <f>1.86*C116/180</f>
        <v>1.86</v>
      </c>
      <c r="F116" s="25">
        <f>11.94*C116/180</f>
        <v>11.94</v>
      </c>
      <c r="G116" s="25">
        <f>64*C116/180</f>
        <v>64</v>
      </c>
      <c r="H116" s="73" t="s">
        <v>59</v>
      </c>
    </row>
    <row r="117" spans="1:8" ht="15.75">
      <c r="A117" s="177"/>
      <c r="B117" s="126" t="s">
        <v>10</v>
      </c>
      <c r="C117" s="121">
        <v>370</v>
      </c>
      <c r="D117" s="26">
        <f>SUM(D114:D116)</f>
        <v>8.939705923076923</v>
      </c>
      <c r="E117" s="26">
        <f>SUM(E114:E116)</f>
        <v>12.242053538461537</v>
      </c>
      <c r="F117" s="26">
        <f>SUM(F114:F116)</f>
        <v>47.522852</v>
      </c>
      <c r="G117" s="26">
        <f>SUM(G114:G116)</f>
        <v>324.59642857142853</v>
      </c>
      <c r="H117" s="70"/>
    </row>
    <row r="118" spans="1:8" ht="15.75">
      <c r="A118" s="193" t="s">
        <v>22</v>
      </c>
      <c r="B118" s="126"/>
      <c r="C118" s="121"/>
      <c r="D118" s="36"/>
      <c r="E118" s="36"/>
      <c r="F118" s="36"/>
      <c r="G118" s="36"/>
      <c r="H118" s="70"/>
    </row>
    <row r="119" spans="1:8" ht="15.75">
      <c r="A119" s="194"/>
      <c r="B119" s="49" t="s">
        <v>34</v>
      </c>
      <c r="C119" s="121">
        <v>180</v>
      </c>
      <c r="D119" s="36">
        <f>0.75*C119/150</f>
        <v>0.9</v>
      </c>
      <c r="E119" s="36">
        <f>0.15*C119/150</f>
        <v>0.18</v>
      </c>
      <c r="F119" s="36">
        <f>15.15*C119/150</f>
        <v>18.18</v>
      </c>
      <c r="G119" s="36">
        <f>69*C119/150</f>
        <v>82.8</v>
      </c>
      <c r="H119" s="70" t="s">
        <v>40</v>
      </c>
    </row>
    <row r="120" spans="1:8" ht="15.75">
      <c r="A120" s="175" t="s">
        <v>11</v>
      </c>
      <c r="B120" s="118" t="s">
        <v>166</v>
      </c>
      <c r="C120" s="9"/>
      <c r="D120" s="104"/>
      <c r="E120" s="104"/>
      <c r="F120" s="104"/>
      <c r="G120" s="105"/>
      <c r="H120" s="116"/>
    </row>
    <row r="121" spans="1:8" ht="15.75">
      <c r="A121" s="176"/>
      <c r="B121" s="63" t="s">
        <v>141</v>
      </c>
      <c r="C121" s="9">
        <v>35</v>
      </c>
      <c r="D121" s="104">
        <f>0.246525*C121/30</f>
        <v>0.2876125</v>
      </c>
      <c r="E121" s="104">
        <f>1.473168*C121/30</f>
        <v>1.7186960000000002</v>
      </c>
      <c r="F121" s="104">
        <f>2.175537*C121/30</f>
        <v>2.5381264999999997</v>
      </c>
      <c r="G121" s="105">
        <f>22.94676*C121/30</f>
        <v>26.771220000000003</v>
      </c>
      <c r="H121" s="131" t="s">
        <v>207</v>
      </c>
    </row>
    <row r="122" spans="1:8" ht="38.25">
      <c r="A122" s="176"/>
      <c r="B122" s="16" t="s">
        <v>88</v>
      </c>
      <c r="C122" s="6">
        <v>200</v>
      </c>
      <c r="D122" s="27">
        <v>3.770688</v>
      </c>
      <c r="E122" s="27">
        <v>6.126298666666667</v>
      </c>
      <c r="F122" s="27">
        <v>8.242173333333334</v>
      </c>
      <c r="G122" s="27">
        <v>103.2</v>
      </c>
      <c r="H122" s="131" t="s">
        <v>176</v>
      </c>
    </row>
    <row r="123" spans="1:8" ht="26.25">
      <c r="A123" s="176"/>
      <c r="B123" s="55" t="s">
        <v>198</v>
      </c>
      <c r="C123" s="6">
        <v>60</v>
      </c>
      <c r="D123" s="27">
        <f>7.63844*C123/50</f>
        <v>9.166128</v>
      </c>
      <c r="E123" s="27">
        <f>7.97192*C123/50</f>
        <v>9.566304</v>
      </c>
      <c r="F123" s="27">
        <f>7.10073*C123/50</f>
        <v>8.520876000000001</v>
      </c>
      <c r="G123" s="27">
        <f>130.70396*C123/50</f>
        <v>156.844752</v>
      </c>
      <c r="H123" s="131" t="s">
        <v>191</v>
      </c>
    </row>
    <row r="124" spans="1:8" ht="15.75">
      <c r="A124" s="176"/>
      <c r="B124" s="16" t="s">
        <v>179</v>
      </c>
      <c r="C124" s="35">
        <v>110</v>
      </c>
      <c r="D124" s="25">
        <f>2.45*C124/120</f>
        <v>2.245833333333333</v>
      </c>
      <c r="E124" s="25">
        <f>3.43*C124/120</f>
        <v>3.1441666666666666</v>
      </c>
      <c r="F124" s="25">
        <f>16.05*C124/120</f>
        <v>14.7125</v>
      </c>
      <c r="G124" s="25">
        <v>95</v>
      </c>
      <c r="H124" s="85" t="s">
        <v>57</v>
      </c>
    </row>
    <row r="125" spans="1:8" ht="15.75">
      <c r="A125" s="176"/>
      <c r="B125" s="48" t="s">
        <v>151</v>
      </c>
      <c r="C125" s="74">
        <v>180</v>
      </c>
      <c r="D125" s="20">
        <f>0.74*C125/150</f>
        <v>0.8879999999999999</v>
      </c>
      <c r="E125" s="20">
        <f>0.04*C125/150</f>
        <v>0.048</v>
      </c>
      <c r="F125" s="20">
        <f>14.23*C125/150</f>
        <v>17.076</v>
      </c>
      <c r="G125" s="20">
        <f>60.25*C125/150</f>
        <v>72.3</v>
      </c>
      <c r="H125" s="85" t="s">
        <v>62</v>
      </c>
    </row>
    <row r="126" spans="1:8" ht="15.75">
      <c r="A126" s="176"/>
      <c r="B126" s="48" t="s">
        <v>12</v>
      </c>
      <c r="C126" s="23">
        <v>30</v>
      </c>
      <c r="D126" s="20">
        <f>1.32*C126/20</f>
        <v>1.98</v>
      </c>
      <c r="E126" s="20">
        <f>0.22*C126/20</f>
        <v>0.32999999999999996</v>
      </c>
      <c r="F126" s="20">
        <f>8.2*C126/20</f>
        <v>12.299999999999999</v>
      </c>
      <c r="G126" s="25">
        <f>40*C126/20</f>
        <v>60</v>
      </c>
      <c r="H126" s="70" t="s">
        <v>44</v>
      </c>
    </row>
    <row r="127" spans="1:8" ht="15.75">
      <c r="A127" s="176"/>
      <c r="B127" s="48" t="s">
        <v>33</v>
      </c>
      <c r="C127" s="74">
        <v>30</v>
      </c>
      <c r="D127" s="20">
        <f>2.28*C127/30</f>
        <v>2.28</v>
      </c>
      <c r="E127" s="20">
        <f>0.24*C127/30</f>
        <v>0.23999999999999996</v>
      </c>
      <c r="F127" s="20">
        <f>14.76*C127/30</f>
        <v>14.76</v>
      </c>
      <c r="G127" s="20">
        <f>70.5*C127/30</f>
        <v>70.5</v>
      </c>
      <c r="H127" s="70" t="s">
        <v>43</v>
      </c>
    </row>
    <row r="128" spans="1:8" ht="15.75">
      <c r="A128" s="177"/>
      <c r="B128" s="141" t="s">
        <v>13</v>
      </c>
      <c r="C128" s="142">
        <v>645</v>
      </c>
      <c r="D128" s="143">
        <f>SUM(D121:D127)</f>
        <v>20.618261833333335</v>
      </c>
      <c r="E128" s="143">
        <f>SUM(E121:E127)</f>
        <v>21.17346533333333</v>
      </c>
      <c r="F128" s="143">
        <f>SUM(F121:F127)</f>
        <v>78.14967583333333</v>
      </c>
      <c r="G128" s="143">
        <f>SUM(G121:G127)</f>
        <v>584.615972</v>
      </c>
      <c r="H128" s="144"/>
    </row>
    <row r="129" spans="1:8" ht="15.75">
      <c r="A129" s="165" t="s">
        <v>69</v>
      </c>
      <c r="B129" s="90"/>
      <c r="C129" s="35"/>
      <c r="D129" s="25"/>
      <c r="E129" s="25"/>
      <c r="F129" s="25"/>
      <c r="G129" s="25"/>
      <c r="H129" s="70"/>
    </row>
    <row r="130" spans="1:8" ht="38.25">
      <c r="A130" s="165"/>
      <c r="B130" s="16" t="s">
        <v>152</v>
      </c>
      <c r="C130" s="35">
        <v>160</v>
      </c>
      <c r="D130" s="25">
        <f>14.84119*C130/130</f>
        <v>18.26608</v>
      </c>
      <c r="E130" s="25">
        <f>19.2335*C130/130</f>
        <v>23.671999999999997</v>
      </c>
      <c r="F130" s="25">
        <f>2.04461833333333*C130/130</f>
        <v>2.5164533333333297</v>
      </c>
      <c r="G130" s="25">
        <f>240.6*C130/130</f>
        <v>296.12307692307695</v>
      </c>
      <c r="H130" s="101" t="s">
        <v>188</v>
      </c>
    </row>
    <row r="131" spans="1:8" ht="15.75">
      <c r="A131" s="165"/>
      <c r="B131" s="48" t="s">
        <v>101</v>
      </c>
      <c r="C131" s="23">
        <v>180</v>
      </c>
      <c r="D131" s="20">
        <f>0.23*C131/180</f>
        <v>0.22999999999999998</v>
      </c>
      <c r="E131" s="20">
        <f>0.05*C131/180</f>
        <v>0.05</v>
      </c>
      <c r="F131" s="20">
        <f>6.98*C131/180</f>
        <v>6.98</v>
      </c>
      <c r="G131" s="25">
        <f>29.34*C131/180</f>
        <v>29.34</v>
      </c>
      <c r="H131" s="70" t="s">
        <v>47</v>
      </c>
    </row>
    <row r="132" spans="1:8" ht="15.75">
      <c r="A132" s="195" t="s">
        <v>70</v>
      </c>
      <c r="B132" s="196"/>
      <c r="C132" s="91">
        <v>340</v>
      </c>
      <c r="D132" s="92">
        <f>SUM(D129:D131)</f>
        <v>18.49608</v>
      </c>
      <c r="E132" s="92">
        <f>SUM(E129:E131)</f>
        <v>23.721999999999998</v>
      </c>
      <c r="F132" s="92">
        <f>SUM(F129:F131)</f>
        <v>9.49645333333333</v>
      </c>
      <c r="G132" s="92">
        <f>SUM(G129:G131)</f>
        <v>325.4630769230769</v>
      </c>
      <c r="H132" s="93"/>
    </row>
    <row r="133" spans="1:8" ht="15.75">
      <c r="A133" s="197" t="s">
        <v>32</v>
      </c>
      <c r="B133" s="198"/>
      <c r="C133" s="145"/>
      <c r="D133" s="146">
        <f>D117+D119+D128+D132</f>
        <v>48.95404775641026</v>
      </c>
      <c r="E133" s="146">
        <f>E117+E119+E128+E132</f>
        <v>57.31751887179486</v>
      </c>
      <c r="F133" s="146">
        <f>F117+F119+F128+F132</f>
        <v>153.34898116666668</v>
      </c>
      <c r="G133" s="146">
        <f>G117+G119+G128+G132</f>
        <v>1317.4754774945054</v>
      </c>
      <c r="H133" s="147"/>
    </row>
    <row r="134" spans="1:8" ht="15.75">
      <c r="A134" s="140"/>
      <c r="B134" s="140" t="s">
        <v>210</v>
      </c>
      <c r="C134" s="140"/>
      <c r="D134" s="140"/>
      <c r="E134" s="140"/>
      <c r="F134" s="140"/>
      <c r="G134" s="140"/>
      <c r="H134" s="140"/>
    </row>
    <row r="135" spans="1:8" ht="25.5">
      <c r="A135" s="175" t="s">
        <v>167</v>
      </c>
      <c r="B135" s="16" t="s">
        <v>172</v>
      </c>
      <c r="C135" s="38" t="s">
        <v>215</v>
      </c>
      <c r="D135" s="13">
        <v>5.05109</v>
      </c>
      <c r="E135" s="13">
        <v>3.0734</v>
      </c>
      <c r="F135" s="13">
        <v>27.133106</v>
      </c>
      <c r="G135" s="13" t="s">
        <v>93</v>
      </c>
      <c r="H135" s="128" t="s">
        <v>173</v>
      </c>
    </row>
    <row r="136" spans="1:8" ht="15.75">
      <c r="A136" s="176"/>
      <c r="B136" s="48" t="s">
        <v>96</v>
      </c>
      <c r="C136" s="69" t="s">
        <v>217</v>
      </c>
      <c r="D136" s="20">
        <v>2.33</v>
      </c>
      <c r="E136" s="20">
        <v>8.12</v>
      </c>
      <c r="F136" s="20">
        <v>15.55</v>
      </c>
      <c r="G136" s="5">
        <v>144.7</v>
      </c>
      <c r="H136" s="35" t="s">
        <v>49</v>
      </c>
    </row>
    <row r="137" spans="1:8" ht="15.75">
      <c r="A137" s="176"/>
      <c r="B137" s="16" t="s">
        <v>108</v>
      </c>
      <c r="C137" s="9">
        <v>180</v>
      </c>
      <c r="D137" s="27">
        <f>1.551*C137/200</f>
        <v>1.3959000000000001</v>
      </c>
      <c r="E137" s="27">
        <f>1.58488*C137/200</f>
        <v>1.426392</v>
      </c>
      <c r="F137" s="27">
        <f>2.1749*C137/200</f>
        <v>1.95741</v>
      </c>
      <c r="G137" s="27">
        <f>29.16752*C137/200</f>
        <v>26.250767999999997</v>
      </c>
      <c r="H137" s="10" t="s">
        <v>81</v>
      </c>
    </row>
    <row r="138" spans="1:8" ht="15.75">
      <c r="A138" s="177"/>
      <c r="B138" s="141" t="s">
        <v>10</v>
      </c>
      <c r="C138" s="142">
        <v>370</v>
      </c>
      <c r="D138" s="143">
        <f>D135+D136+D137</f>
        <v>8.776990000000001</v>
      </c>
      <c r="E138" s="143">
        <f>E135+E136+E137</f>
        <v>12.619791999999999</v>
      </c>
      <c r="F138" s="143">
        <f>F135+F136+F137</f>
        <v>44.640516000000005</v>
      </c>
      <c r="G138" s="143">
        <f>G135+G136+G137</f>
        <v>351.950768</v>
      </c>
      <c r="H138" s="144"/>
    </row>
    <row r="139" spans="1:8" ht="15.75">
      <c r="A139" s="193" t="s">
        <v>22</v>
      </c>
      <c r="B139" s="119"/>
      <c r="C139" s="121"/>
      <c r="D139" s="36"/>
      <c r="E139" s="36"/>
      <c r="F139" s="36"/>
      <c r="G139" s="36"/>
      <c r="H139" s="70"/>
    </row>
    <row r="140" spans="1:8" ht="15.75">
      <c r="A140" s="194"/>
      <c r="B140" s="49" t="s">
        <v>132</v>
      </c>
      <c r="C140" s="75">
        <v>100</v>
      </c>
      <c r="D140" s="26">
        <f>SUM(D138:D138)</f>
        <v>8.776990000000001</v>
      </c>
      <c r="E140" s="26">
        <f>SUM(E138:E138)</f>
        <v>12.619791999999999</v>
      </c>
      <c r="F140" s="26">
        <f>SUM(F138:F138)</f>
        <v>44.640516000000005</v>
      </c>
      <c r="G140" s="26">
        <f>SUM(G138:G138)</f>
        <v>351.950768</v>
      </c>
      <c r="H140" s="70" t="s">
        <v>48</v>
      </c>
    </row>
    <row r="141" spans="1:8" ht="15.75">
      <c r="A141" s="175" t="s">
        <v>11</v>
      </c>
      <c r="B141" s="119" t="s">
        <v>168</v>
      </c>
      <c r="C141" s="75"/>
      <c r="D141" s="26"/>
      <c r="E141" s="26"/>
      <c r="F141" s="26"/>
      <c r="G141" s="26"/>
      <c r="H141" s="70"/>
    </row>
    <row r="142" spans="1:8" ht="15.75">
      <c r="A142" s="176"/>
      <c r="B142" s="56" t="s">
        <v>153</v>
      </c>
      <c r="C142" s="6">
        <v>35</v>
      </c>
      <c r="D142" s="27">
        <f>0.406125*C142/30</f>
        <v>0.4738125</v>
      </c>
      <c r="E142" s="27">
        <f>1.717098*C142/30</f>
        <v>2.003281</v>
      </c>
      <c r="F142" s="27">
        <f>2.28228*C142/30</f>
        <v>2.6626600000000002</v>
      </c>
      <c r="G142" s="27">
        <f>26.207502*C142/30</f>
        <v>30.575419000000004</v>
      </c>
      <c r="H142" s="131" t="s">
        <v>184</v>
      </c>
    </row>
    <row r="143" spans="1:8" ht="51">
      <c r="A143" s="176"/>
      <c r="B143" s="63" t="s">
        <v>112</v>
      </c>
      <c r="C143" s="96">
        <v>170</v>
      </c>
      <c r="D143" s="2">
        <v>3.648313</v>
      </c>
      <c r="E143" s="2">
        <v>6.668752</v>
      </c>
      <c r="F143" s="2">
        <v>6.413774999999999</v>
      </c>
      <c r="G143" s="2">
        <v>100</v>
      </c>
      <c r="H143" s="95" t="s">
        <v>78</v>
      </c>
    </row>
    <row r="144" spans="1:8" ht="25.5">
      <c r="A144" s="176"/>
      <c r="B144" s="16" t="s">
        <v>154</v>
      </c>
      <c r="C144" s="35">
        <v>60</v>
      </c>
      <c r="D144" s="25">
        <v>9.23</v>
      </c>
      <c r="E144" s="25">
        <v>6.23</v>
      </c>
      <c r="F144" s="25">
        <v>6.62</v>
      </c>
      <c r="G144" s="25">
        <v>119.43</v>
      </c>
      <c r="H144" s="120" t="s">
        <v>122</v>
      </c>
    </row>
    <row r="145" spans="1:8" ht="25.5">
      <c r="A145" s="176"/>
      <c r="B145" s="16" t="s">
        <v>155</v>
      </c>
      <c r="C145" s="35">
        <v>110</v>
      </c>
      <c r="D145" s="25">
        <f>3.1683355*C145/110</f>
        <v>3.1683355</v>
      </c>
      <c r="E145" s="25">
        <f>2.9911552*C145/110</f>
        <v>2.9911552</v>
      </c>
      <c r="F145" s="25">
        <f>21.6758542*C145/110</f>
        <v>21.6758542</v>
      </c>
      <c r="G145" s="25">
        <f>126.3*C145/110</f>
        <v>126.3</v>
      </c>
      <c r="H145" s="85" t="s">
        <v>61</v>
      </c>
    </row>
    <row r="146" spans="1:8" ht="25.5">
      <c r="A146" s="176"/>
      <c r="B146" s="51" t="s">
        <v>110</v>
      </c>
      <c r="C146" s="23">
        <v>180</v>
      </c>
      <c r="D146" s="20">
        <f>0.41*C146/150</f>
        <v>0.492</v>
      </c>
      <c r="E146" s="20">
        <f>0.06*C146/150</f>
        <v>0.072</v>
      </c>
      <c r="F146" s="20">
        <f>17.01*C146/150</f>
        <v>20.412000000000003</v>
      </c>
      <c r="G146" s="20">
        <f>70.15*C146/150</f>
        <v>84.18</v>
      </c>
      <c r="H146" s="70" t="s">
        <v>45</v>
      </c>
    </row>
    <row r="147" spans="1:8" ht="15.75">
      <c r="A147" s="176"/>
      <c r="B147" s="48" t="s">
        <v>12</v>
      </c>
      <c r="C147" s="23">
        <v>30</v>
      </c>
      <c r="D147" s="20">
        <f>1.32*C147/20</f>
        <v>1.98</v>
      </c>
      <c r="E147" s="20">
        <f>0.22*C147/20</f>
        <v>0.32999999999999996</v>
      </c>
      <c r="F147" s="20">
        <f>8.2*C147/20</f>
        <v>12.299999999999999</v>
      </c>
      <c r="G147" s="25">
        <f>40*C147/20</f>
        <v>60</v>
      </c>
      <c r="H147" s="70" t="s">
        <v>44</v>
      </c>
    </row>
    <row r="148" spans="1:8" ht="15.75">
      <c r="A148" s="176"/>
      <c r="B148" s="48" t="s">
        <v>33</v>
      </c>
      <c r="C148" s="74">
        <v>30</v>
      </c>
      <c r="D148" s="20">
        <f>2.28*C148/30</f>
        <v>2.28</v>
      </c>
      <c r="E148" s="20">
        <f>0.24*C148/30</f>
        <v>0.23999999999999996</v>
      </c>
      <c r="F148" s="20">
        <f>14.76*C148/30</f>
        <v>14.76</v>
      </c>
      <c r="G148" s="20">
        <f>70.5*C148/30</f>
        <v>70.5</v>
      </c>
      <c r="H148" s="70" t="s">
        <v>43</v>
      </c>
    </row>
    <row r="149" spans="1:8" ht="15.75">
      <c r="A149" s="177"/>
      <c r="B149" s="141" t="s">
        <v>13</v>
      </c>
      <c r="C149" s="142">
        <v>615</v>
      </c>
      <c r="D149" s="143">
        <f>SUM(D142:D148)</f>
        <v>21.272461000000003</v>
      </c>
      <c r="E149" s="143">
        <f>SUM(E142:E148)</f>
        <v>18.535188199999997</v>
      </c>
      <c r="F149" s="143">
        <f>SUM(F142:F148)</f>
        <v>84.8442892</v>
      </c>
      <c r="G149" s="143">
        <f>SUM(G142:G148)</f>
        <v>590.9854190000001</v>
      </c>
      <c r="H149" s="144"/>
    </row>
    <row r="150" spans="1:8" ht="38.25">
      <c r="A150" s="165" t="s">
        <v>69</v>
      </c>
      <c r="B150" s="48" t="s">
        <v>156</v>
      </c>
      <c r="C150" s="35">
        <v>145</v>
      </c>
      <c r="D150" s="25">
        <f>6.13256*C150/50</f>
        <v>17.784423999999998</v>
      </c>
      <c r="E150" s="25">
        <f>4.6948*C150/50</f>
        <v>13.61492</v>
      </c>
      <c r="F150" s="25">
        <f>7.10073*C150/50</f>
        <v>20.592117000000002</v>
      </c>
      <c r="G150" s="25">
        <f>95*C150/50</f>
        <v>275.5</v>
      </c>
      <c r="H150" s="85" t="s">
        <v>50</v>
      </c>
    </row>
    <row r="151" spans="1:8" ht="27" customHeight="1">
      <c r="A151" s="165"/>
      <c r="B151" s="48" t="s">
        <v>100</v>
      </c>
      <c r="C151" s="23">
        <v>180</v>
      </c>
      <c r="D151" s="20">
        <f>0.48*C151/150</f>
        <v>0.576</v>
      </c>
      <c r="E151" s="20">
        <f>0.2*C151/150</f>
        <v>0.24</v>
      </c>
      <c r="F151" s="20">
        <f>12.95*C151/150</f>
        <v>15.54</v>
      </c>
      <c r="G151" s="20">
        <f>55.52*C151/150</f>
        <v>66.62400000000001</v>
      </c>
      <c r="H151" s="70" t="s">
        <v>52</v>
      </c>
    </row>
    <row r="152" spans="1:8" ht="15.75">
      <c r="A152" s="165"/>
      <c r="B152" s="49" t="s">
        <v>199</v>
      </c>
      <c r="C152" s="9">
        <v>20</v>
      </c>
      <c r="D152" s="13">
        <f>2*30/50</f>
        <v>1.2</v>
      </c>
      <c r="E152" s="13">
        <f>13*30/50</f>
        <v>7.8</v>
      </c>
      <c r="F152" s="13">
        <f>32.5*30/50</f>
        <v>19.5</v>
      </c>
      <c r="G152" s="13">
        <f>127.5*30/25</f>
        <v>153</v>
      </c>
      <c r="H152" s="70" t="s">
        <v>71</v>
      </c>
    </row>
    <row r="153" spans="1:8" ht="15.75">
      <c r="A153" s="199" t="s">
        <v>70</v>
      </c>
      <c r="B153" s="200"/>
      <c r="C153" s="154">
        <v>345</v>
      </c>
      <c r="D153" s="31">
        <f>SUM(D150:D152)</f>
        <v>19.560423999999998</v>
      </c>
      <c r="E153" s="31">
        <f>SUM(E150:E152)</f>
        <v>21.65492</v>
      </c>
      <c r="F153" s="31">
        <f>SUM(F150:F152)</f>
        <v>55.632117</v>
      </c>
      <c r="G153" s="31">
        <f>SUM(G150:G152)</f>
        <v>495.124</v>
      </c>
      <c r="H153" s="70"/>
    </row>
    <row r="154" spans="1:8" ht="15.75">
      <c r="A154" s="201" t="s">
        <v>19</v>
      </c>
      <c r="B154" s="202"/>
      <c r="C154" s="86"/>
      <c r="D154" s="34">
        <f>D138+D140+D149+D153</f>
        <v>58.386865</v>
      </c>
      <c r="E154" s="34">
        <f>E138+E140+E149+E153</f>
        <v>65.42969219999999</v>
      </c>
      <c r="F154" s="34">
        <f>F138+F140+F149+F153</f>
        <v>229.75743820000002</v>
      </c>
      <c r="G154" s="34">
        <f>G138+G140+G149+G153</f>
        <v>1790.010955</v>
      </c>
      <c r="H154" s="80"/>
    </row>
    <row r="155" spans="1:8" ht="15.75">
      <c r="A155" s="175" t="s">
        <v>9</v>
      </c>
      <c r="B155" s="124" t="s">
        <v>211</v>
      </c>
      <c r="C155" s="124"/>
      <c r="D155" s="124"/>
      <c r="E155" s="124"/>
      <c r="F155" s="124"/>
      <c r="G155" s="124"/>
      <c r="H155" s="124"/>
    </row>
    <row r="156" spans="1:8" ht="38.25">
      <c r="A156" s="176"/>
      <c r="B156" s="16" t="s">
        <v>157</v>
      </c>
      <c r="C156" s="23">
        <v>145</v>
      </c>
      <c r="D156" s="20">
        <f>5.26635*C156/150</f>
        <v>5.0908050000000005</v>
      </c>
      <c r="E156" s="20">
        <f>2.3694*C156/150</f>
        <v>2.29042</v>
      </c>
      <c r="F156" s="20">
        <f>25.139205*C156/150</f>
        <v>24.3012315</v>
      </c>
      <c r="G156" s="20">
        <f>127.61*C156/135</f>
        <v>137.0625925925926</v>
      </c>
      <c r="H156" s="127" t="s">
        <v>171</v>
      </c>
    </row>
    <row r="157" spans="1:8" ht="15.75">
      <c r="A157" s="176"/>
      <c r="B157" s="48" t="s">
        <v>96</v>
      </c>
      <c r="C157" s="69" t="s">
        <v>217</v>
      </c>
      <c r="D157" s="20">
        <v>2.33</v>
      </c>
      <c r="E157" s="20">
        <v>8.12</v>
      </c>
      <c r="F157" s="20">
        <v>15.55</v>
      </c>
      <c r="G157" s="5">
        <v>144.7</v>
      </c>
      <c r="H157" s="35" t="s">
        <v>49</v>
      </c>
    </row>
    <row r="158" spans="1:8" ht="25.5">
      <c r="A158" s="177"/>
      <c r="B158" s="48" t="s">
        <v>97</v>
      </c>
      <c r="C158" s="21" t="s">
        <v>37</v>
      </c>
      <c r="D158" s="27">
        <f>1.62432*C158/150</f>
        <v>1.9491839999999998</v>
      </c>
      <c r="E158" s="27">
        <f>1.66144*C158/150</f>
        <v>1.9937280000000002</v>
      </c>
      <c r="F158" s="27">
        <f>9.03266*C158/150</f>
        <v>10.839191999999999</v>
      </c>
      <c r="G158" s="27">
        <f>57.58088*C158/150</f>
        <v>69.097056</v>
      </c>
      <c r="H158" s="10" t="s">
        <v>77</v>
      </c>
    </row>
    <row r="159" spans="1:8" ht="15.75">
      <c r="A159" s="203" t="s">
        <v>10</v>
      </c>
      <c r="B159" s="204"/>
      <c r="C159" s="122">
        <v>370</v>
      </c>
      <c r="D159" s="31">
        <f>SUM(D156:D158)</f>
        <v>9.369989</v>
      </c>
      <c r="E159" s="31">
        <f>SUM(E156:E158)</f>
        <v>12.404148</v>
      </c>
      <c r="F159" s="31">
        <f>SUM(F156:F158)</f>
        <v>50.690423499999994</v>
      </c>
      <c r="G159" s="31">
        <f>SUM(G156:G158)</f>
        <v>350.8596485925926</v>
      </c>
      <c r="H159" s="70"/>
    </row>
    <row r="160" spans="1:8" ht="15.75">
      <c r="A160" s="175" t="s">
        <v>22</v>
      </c>
      <c r="B160" s="119"/>
      <c r="C160" s="121"/>
      <c r="D160" s="36"/>
      <c r="E160" s="36"/>
      <c r="F160" s="36"/>
      <c r="G160" s="36"/>
      <c r="H160" s="85"/>
    </row>
    <row r="161" spans="1:8" ht="15.75">
      <c r="A161" s="177"/>
      <c r="B161" s="49" t="s">
        <v>200</v>
      </c>
      <c r="C161" s="121">
        <v>100</v>
      </c>
      <c r="D161" s="36">
        <v>0.8</v>
      </c>
      <c r="E161" s="36">
        <v>0.3</v>
      </c>
      <c r="F161" s="36">
        <v>9.6</v>
      </c>
      <c r="G161" s="36">
        <v>42</v>
      </c>
      <c r="H161" s="85" t="s">
        <v>48</v>
      </c>
    </row>
    <row r="162" spans="1:8" ht="15.75">
      <c r="A162" s="175" t="s">
        <v>11</v>
      </c>
      <c r="B162" s="148"/>
      <c r="C162" s="139"/>
      <c r="D162" s="149"/>
      <c r="E162" s="149"/>
      <c r="F162" s="149"/>
      <c r="G162" s="149"/>
      <c r="H162" s="134"/>
    </row>
    <row r="163" spans="1:8" ht="38.25">
      <c r="A163" s="176"/>
      <c r="B163" s="64" t="s">
        <v>220</v>
      </c>
      <c r="C163" s="1">
        <v>35</v>
      </c>
      <c r="D163" s="3">
        <v>0.25839999999999996</v>
      </c>
      <c r="E163" s="3">
        <v>2.8427480000000003</v>
      </c>
      <c r="F163" s="3">
        <v>0.8415680000000001</v>
      </c>
      <c r="G163" s="3">
        <v>29.9</v>
      </c>
      <c r="H163" s="95" t="s">
        <v>82</v>
      </c>
    </row>
    <row r="164" spans="1:8" ht="38.25">
      <c r="A164" s="176"/>
      <c r="B164" s="51" t="s">
        <v>158</v>
      </c>
      <c r="C164" s="35">
        <v>200</v>
      </c>
      <c r="D164" s="25">
        <v>5.488378</v>
      </c>
      <c r="E164" s="25">
        <v>2.261336</v>
      </c>
      <c r="F164" s="25">
        <v>12.965679999999999</v>
      </c>
      <c r="G164" s="25">
        <v>94.17</v>
      </c>
      <c r="H164" s="156" t="s">
        <v>117</v>
      </c>
    </row>
    <row r="165" spans="1:8" ht="25.5">
      <c r="A165" s="176"/>
      <c r="B165" s="16" t="s">
        <v>95</v>
      </c>
      <c r="C165" s="9">
        <v>170</v>
      </c>
      <c r="D165" s="7">
        <f>13.86*C165/180</f>
        <v>13.09</v>
      </c>
      <c r="E165" s="7">
        <f>13.72*C165/180</f>
        <v>12.957777777777778</v>
      </c>
      <c r="F165" s="7">
        <f>36.01*C165/180</f>
        <v>34.00944444444444</v>
      </c>
      <c r="G165" s="7">
        <f>323.02*C165/180</f>
        <v>305.0744444444444</v>
      </c>
      <c r="H165" s="10" t="s">
        <v>87</v>
      </c>
    </row>
    <row r="166" spans="1:8" ht="25.5">
      <c r="A166" s="176"/>
      <c r="B166" s="51" t="s">
        <v>110</v>
      </c>
      <c r="C166" s="23">
        <v>180</v>
      </c>
      <c r="D166" s="20">
        <f>0.41*C166/150</f>
        <v>0.492</v>
      </c>
      <c r="E166" s="20">
        <f>0.06*C166/150</f>
        <v>0.072</v>
      </c>
      <c r="F166" s="20">
        <f>17.01*C166/150</f>
        <v>20.412000000000003</v>
      </c>
      <c r="G166" s="20">
        <f>70.15*C166/150</f>
        <v>84.18</v>
      </c>
      <c r="H166" s="70" t="s">
        <v>45</v>
      </c>
    </row>
    <row r="167" spans="1:8" ht="15.75">
      <c r="A167" s="176"/>
      <c r="B167" s="48" t="s">
        <v>12</v>
      </c>
      <c r="C167" s="23">
        <v>20</v>
      </c>
      <c r="D167" s="20">
        <f>1.32*C167/20</f>
        <v>1.32</v>
      </c>
      <c r="E167" s="20">
        <f>0.22*C167/20</f>
        <v>0.22000000000000003</v>
      </c>
      <c r="F167" s="20">
        <f>8.2*C167/20</f>
        <v>8.2</v>
      </c>
      <c r="G167" s="25">
        <f>40*C167/20</f>
        <v>40</v>
      </c>
      <c r="H167" s="70" t="s">
        <v>44</v>
      </c>
    </row>
    <row r="168" spans="1:8" ht="15.75">
      <c r="A168" s="177"/>
      <c r="B168" s="48" t="s">
        <v>33</v>
      </c>
      <c r="C168" s="74">
        <v>30</v>
      </c>
      <c r="D168" s="20">
        <f>2.28*C168/30</f>
        <v>2.28</v>
      </c>
      <c r="E168" s="20">
        <f>0.24*C168/30</f>
        <v>0.23999999999999996</v>
      </c>
      <c r="F168" s="20">
        <f>14.76*C168/30</f>
        <v>14.76</v>
      </c>
      <c r="G168" s="20">
        <f>70.5*C168/30</f>
        <v>70.5</v>
      </c>
      <c r="H168" s="70" t="s">
        <v>43</v>
      </c>
    </row>
    <row r="169" spans="1:8" ht="15.75">
      <c r="A169" s="186" t="s">
        <v>69</v>
      </c>
      <c r="B169" s="126" t="s">
        <v>13</v>
      </c>
      <c r="C169" s="122">
        <v>660</v>
      </c>
      <c r="D169" s="31">
        <f>SUM(D163:D168)</f>
        <v>22.928778</v>
      </c>
      <c r="E169" s="31">
        <f>SUM(E163:E168)</f>
        <v>18.593861777777775</v>
      </c>
      <c r="F169" s="31">
        <f>SUM(F163:F168)</f>
        <v>91.18869244444446</v>
      </c>
      <c r="G169" s="31">
        <f>SUM(G163:G168)</f>
        <v>623.8244444444445</v>
      </c>
      <c r="H169" s="70"/>
    </row>
    <row r="170" spans="1:8" ht="25.5">
      <c r="A170" s="187"/>
      <c r="B170" s="63" t="s">
        <v>159</v>
      </c>
      <c r="C170" s="35">
        <v>180</v>
      </c>
      <c r="D170" s="25">
        <v>19.59218</v>
      </c>
      <c r="E170" s="25">
        <v>8.916239999999998</v>
      </c>
      <c r="F170" s="25">
        <v>42.11626</v>
      </c>
      <c r="G170" s="25">
        <v>323</v>
      </c>
      <c r="H170" s="85" t="s">
        <v>55</v>
      </c>
    </row>
    <row r="171" spans="1:8" ht="15.75">
      <c r="A171" s="187"/>
      <c r="B171" s="49" t="s">
        <v>107</v>
      </c>
      <c r="C171" s="78" t="s">
        <v>37</v>
      </c>
      <c r="D171" s="5">
        <f>0.0376*C171/180</f>
        <v>0.0376</v>
      </c>
      <c r="E171" s="5">
        <f>0.008976*C171/180</f>
        <v>0.008976</v>
      </c>
      <c r="F171" s="5">
        <f>6.81863*C171/180</f>
        <v>6.81863</v>
      </c>
      <c r="G171" s="25">
        <f>29.34*C171/180</f>
        <v>29.34</v>
      </c>
      <c r="H171" s="70" t="s">
        <v>39</v>
      </c>
    </row>
    <row r="172" spans="1:8" ht="15.75">
      <c r="A172" s="188"/>
      <c r="B172" s="57" t="s">
        <v>94</v>
      </c>
      <c r="C172" s="9">
        <v>22</v>
      </c>
      <c r="D172" s="13">
        <f>0.8*C172/11</f>
        <v>1.6</v>
      </c>
      <c r="E172" s="13">
        <f>2.1*C172/11</f>
        <v>4.2</v>
      </c>
      <c r="F172" s="13">
        <f>7.5*C172/11</f>
        <v>15</v>
      </c>
      <c r="G172" s="13">
        <f>52*C172/11</f>
        <v>104</v>
      </c>
      <c r="H172" s="14" t="s">
        <v>71</v>
      </c>
    </row>
    <row r="173" spans="1:8" ht="15.75">
      <c r="A173" s="203" t="s">
        <v>70</v>
      </c>
      <c r="B173" s="204"/>
      <c r="C173" s="86">
        <v>402</v>
      </c>
      <c r="D173" s="31">
        <f>SUM(D170:D172)</f>
        <v>21.22978</v>
      </c>
      <c r="E173" s="31">
        <f>SUM(E170:E172)</f>
        <v>13.125215999999998</v>
      </c>
      <c r="F173" s="31">
        <f>SUM(F170:F172)</f>
        <v>63.934889999999996</v>
      </c>
      <c r="G173" s="31">
        <f>SUM(G170:G172)</f>
        <v>456.34</v>
      </c>
      <c r="H173" s="70"/>
    </row>
    <row r="174" spans="1:8" ht="15.75">
      <c r="A174" s="140"/>
      <c r="B174" s="113" t="s">
        <v>20</v>
      </c>
      <c r="C174" s="86"/>
      <c r="D174" s="34">
        <f>D159+D161+D169+D173</f>
        <v>54.328547</v>
      </c>
      <c r="E174" s="34">
        <f>E159+E161+E169+E173</f>
        <v>44.42322577777777</v>
      </c>
      <c r="F174" s="34">
        <f>F159+F161+F169+F173</f>
        <v>215.41400594444445</v>
      </c>
      <c r="G174" s="34">
        <f>G159+G161+G169+G173</f>
        <v>1473.024093037037</v>
      </c>
      <c r="H174" s="94"/>
    </row>
    <row r="175" spans="1:8" ht="15.75">
      <c r="A175" s="186" t="s">
        <v>9</v>
      </c>
      <c r="B175" s="124" t="s">
        <v>212</v>
      </c>
      <c r="C175" s="124"/>
      <c r="D175" s="124"/>
      <c r="E175" s="124"/>
      <c r="F175" s="124"/>
      <c r="G175" s="124"/>
      <c r="H175" s="124"/>
    </row>
    <row r="176" spans="1:8" ht="25.5">
      <c r="A176" s="187"/>
      <c r="B176" s="63" t="s">
        <v>115</v>
      </c>
      <c r="C176" s="15" t="s">
        <v>215</v>
      </c>
      <c r="D176" s="12">
        <f>4.5919*C176/150</f>
        <v>4.438836666666667</v>
      </c>
      <c r="E176" s="12">
        <f>2.794*C176/150</f>
        <v>2.7008666666666667</v>
      </c>
      <c r="F176" s="12">
        <f>24.66646*C176/150</f>
        <v>23.84424466666667</v>
      </c>
      <c r="G176" s="12">
        <f>142.17944*C176/150</f>
        <v>137.44012533333336</v>
      </c>
      <c r="H176" s="97" t="s">
        <v>85</v>
      </c>
    </row>
    <row r="177" spans="1:8" ht="25.5">
      <c r="A177" s="187"/>
      <c r="B177" s="16" t="s">
        <v>104</v>
      </c>
      <c r="C177" s="78" t="s">
        <v>217</v>
      </c>
      <c r="D177" s="25">
        <v>6.52</v>
      </c>
      <c r="E177" s="25">
        <v>9.25</v>
      </c>
      <c r="F177" s="25">
        <v>21.965</v>
      </c>
      <c r="G177" s="25">
        <v>198.6</v>
      </c>
      <c r="H177" s="73" t="s">
        <v>38</v>
      </c>
    </row>
    <row r="178" spans="1:8" ht="15.75">
      <c r="A178" s="188"/>
      <c r="B178" s="48" t="s">
        <v>140</v>
      </c>
      <c r="C178" s="21" t="s">
        <v>37</v>
      </c>
      <c r="D178" s="27">
        <f>1.62432*C178/150</f>
        <v>1.9491839999999998</v>
      </c>
      <c r="E178" s="27">
        <f>1.66144*C178/150</f>
        <v>1.9937280000000002</v>
      </c>
      <c r="F178" s="27">
        <f>9.03266*C178/150</f>
        <v>10.839191999999999</v>
      </c>
      <c r="G178" s="27">
        <f>57.58088*C178/150</f>
        <v>69.097056</v>
      </c>
      <c r="H178" s="131" t="s">
        <v>180</v>
      </c>
    </row>
    <row r="179" spans="1:8" ht="15.75">
      <c r="A179" s="203" t="s">
        <v>10</v>
      </c>
      <c r="B179" s="204"/>
      <c r="C179" s="122">
        <v>370</v>
      </c>
      <c r="D179" s="31">
        <f>SUM(D176:D178)</f>
        <v>12.908020666666665</v>
      </c>
      <c r="E179" s="31">
        <f>SUM(E176:E178)</f>
        <v>13.944594666666667</v>
      </c>
      <c r="F179" s="31">
        <f>SUM(F176:F178)</f>
        <v>56.64843666666667</v>
      </c>
      <c r="G179" s="31">
        <f>SUM(G176:G178)</f>
        <v>405.13718133333333</v>
      </c>
      <c r="H179" s="70"/>
    </row>
    <row r="180" spans="1:8" ht="15.75">
      <c r="A180" s="175" t="s">
        <v>11</v>
      </c>
      <c r="B180" s="119" t="s">
        <v>169</v>
      </c>
      <c r="C180" s="121"/>
      <c r="D180" s="36"/>
      <c r="E180" s="36"/>
      <c r="F180" s="36"/>
      <c r="G180" s="36"/>
      <c r="H180" s="85"/>
    </row>
    <row r="181" spans="1:8" ht="15.75">
      <c r="A181" s="176"/>
      <c r="B181" s="49" t="s">
        <v>201</v>
      </c>
      <c r="C181" s="121">
        <v>180</v>
      </c>
      <c r="D181" s="36">
        <v>0.4</v>
      </c>
      <c r="E181" s="36">
        <v>0.3</v>
      </c>
      <c r="F181" s="36">
        <v>10.3</v>
      </c>
      <c r="G181" s="36">
        <v>47</v>
      </c>
      <c r="H181" s="85" t="s">
        <v>46</v>
      </c>
    </row>
    <row r="182" spans="1:8" ht="15.75">
      <c r="A182" s="176"/>
      <c r="B182" s="49" t="s">
        <v>160</v>
      </c>
      <c r="C182" s="74">
        <v>35</v>
      </c>
      <c r="D182" s="5">
        <v>0.35</v>
      </c>
      <c r="E182" s="5">
        <v>0.05</v>
      </c>
      <c r="F182" s="5">
        <v>0.95</v>
      </c>
      <c r="G182" s="39">
        <v>5.5</v>
      </c>
      <c r="H182" s="120" t="s">
        <v>118</v>
      </c>
    </row>
    <row r="183" spans="1:8" ht="38.25">
      <c r="A183" s="176"/>
      <c r="B183" s="51" t="s">
        <v>111</v>
      </c>
      <c r="C183" s="35">
        <v>200</v>
      </c>
      <c r="D183" s="25">
        <v>6.389368</v>
      </c>
      <c r="E183" s="25">
        <v>6.163872</v>
      </c>
      <c r="F183" s="25">
        <v>14.365260000000001</v>
      </c>
      <c r="G183" s="25">
        <v>138</v>
      </c>
      <c r="H183" s="70" t="s">
        <v>60</v>
      </c>
    </row>
    <row r="184" spans="1:8" ht="25.5">
      <c r="A184" s="176"/>
      <c r="B184" s="16" t="s">
        <v>161</v>
      </c>
      <c r="C184" s="6">
        <v>60</v>
      </c>
      <c r="D184" s="27">
        <f>6.55493333333333*C184/50</f>
        <v>7.8659199999999965</v>
      </c>
      <c r="E184" s="27">
        <f>8.9628*C184/50</f>
        <v>10.755360000000001</v>
      </c>
      <c r="F184" s="27">
        <f>6.37*C184/50</f>
        <v>7.644</v>
      </c>
      <c r="G184" s="27">
        <f>132*C184/50</f>
        <v>158.4</v>
      </c>
      <c r="H184" s="85" t="s">
        <v>192</v>
      </c>
    </row>
    <row r="185" spans="1:8" ht="25.5">
      <c r="A185" s="176"/>
      <c r="B185" s="16" t="s">
        <v>109</v>
      </c>
      <c r="C185" s="35">
        <v>110</v>
      </c>
      <c r="D185" s="25">
        <f>2.45*C185/120</f>
        <v>2.245833333333333</v>
      </c>
      <c r="E185" s="25">
        <f>3.43*C185/120</f>
        <v>3.1441666666666666</v>
      </c>
      <c r="F185" s="25">
        <f>16.05*C185/120</f>
        <v>14.7125</v>
      </c>
      <c r="G185" s="25">
        <v>95</v>
      </c>
      <c r="H185" s="70" t="s">
        <v>42</v>
      </c>
    </row>
    <row r="186" spans="1:8" ht="25.5">
      <c r="A186" s="176"/>
      <c r="B186" s="51" t="s">
        <v>90</v>
      </c>
      <c r="C186" s="23">
        <v>170</v>
      </c>
      <c r="D186" s="20">
        <f>0.41*C186/150</f>
        <v>0.4646666666666667</v>
      </c>
      <c r="E186" s="20">
        <f>0.06*C186/150</f>
        <v>0.06799999999999999</v>
      </c>
      <c r="F186" s="20">
        <f>17.01*C186/150</f>
        <v>19.278000000000002</v>
      </c>
      <c r="G186" s="20">
        <f>70.15*C186/150</f>
        <v>79.50333333333334</v>
      </c>
      <c r="H186" s="85" t="s">
        <v>62</v>
      </c>
    </row>
    <row r="187" spans="1:8" ht="30" customHeight="1">
      <c r="A187" s="176"/>
      <c r="B187" s="48" t="s">
        <v>12</v>
      </c>
      <c r="C187" s="23">
        <v>25</v>
      </c>
      <c r="D187" s="20">
        <f>1.32*C187/20</f>
        <v>1.65</v>
      </c>
      <c r="E187" s="20">
        <f>0.22*C187/20</f>
        <v>0.275</v>
      </c>
      <c r="F187" s="20">
        <f>8.2*C187/20</f>
        <v>10.249999999999998</v>
      </c>
      <c r="G187" s="25">
        <f>40*C187/20</f>
        <v>50</v>
      </c>
      <c r="H187" s="70" t="s">
        <v>44</v>
      </c>
    </row>
    <row r="188" spans="1:8" ht="32.25" customHeight="1">
      <c r="A188" s="177"/>
      <c r="B188" s="48" t="s">
        <v>33</v>
      </c>
      <c r="C188" s="74">
        <v>30</v>
      </c>
      <c r="D188" s="20">
        <f>2.28*C188/30</f>
        <v>2.28</v>
      </c>
      <c r="E188" s="20">
        <f>0.24*C188/30</f>
        <v>0.23999999999999996</v>
      </c>
      <c r="F188" s="20">
        <f>14.76*C188/30</f>
        <v>14.76</v>
      </c>
      <c r="G188" s="20">
        <f>70.5*C188/30</f>
        <v>70.5</v>
      </c>
      <c r="H188" s="70" t="s">
        <v>43</v>
      </c>
    </row>
    <row r="189" spans="1:8" ht="15.75">
      <c r="A189" s="186" t="s">
        <v>69</v>
      </c>
      <c r="B189" s="126" t="s">
        <v>13</v>
      </c>
      <c r="C189" s="122">
        <v>630</v>
      </c>
      <c r="D189" s="31">
        <f>SUM(D182:D188)</f>
        <v>21.245787999999994</v>
      </c>
      <c r="E189" s="31">
        <f>SUM(E182:E188)</f>
        <v>20.696398666666667</v>
      </c>
      <c r="F189" s="31">
        <f>SUM(F182:F188)</f>
        <v>81.95976</v>
      </c>
      <c r="G189" s="31">
        <f>SUM(G182:G188)</f>
        <v>596.9033333333333</v>
      </c>
      <c r="H189" s="70"/>
    </row>
    <row r="190" spans="1:8" ht="38.25">
      <c r="A190" s="187"/>
      <c r="B190" s="66" t="s">
        <v>162</v>
      </c>
      <c r="C190" s="38" t="s">
        <v>37</v>
      </c>
      <c r="D190" s="7">
        <f>17.357194*C190/130</f>
        <v>24.033037846153846</v>
      </c>
      <c r="E190" s="7">
        <f>17.79888*C190/130</f>
        <v>24.64460307692308</v>
      </c>
      <c r="F190" s="7">
        <f>10.713248*C190/130</f>
        <v>14.833728</v>
      </c>
      <c r="G190" s="7">
        <f>272.471688*C190/130</f>
        <v>377.268491076923</v>
      </c>
      <c r="H190" s="131" t="s">
        <v>206</v>
      </c>
    </row>
    <row r="191" spans="1:8" ht="15.75">
      <c r="A191" s="187"/>
      <c r="B191" s="48" t="s">
        <v>33</v>
      </c>
      <c r="C191" s="74">
        <v>20</v>
      </c>
      <c r="D191" s="20">
        <f>2.28*C191/30</f>
        <v>1.5199999999999998</v>
      </c>
      <c r="E191" s="20">
        <f>0.24*C191/30</f>
        <v>0.16</v>
      </c>
      <c r="F191" s="20">
        <f>14.76*C191/30</f>
        <v>9.84</v>
      </c>
      <c r="G191" s="20">
        <f>70.5*C191/30</f>
        <v>47</v>
      </c>
      <c r="H191" s="70" t="s">
        <v>43</v>
      </c>
    </row>
    <row r="192" spans="1:8" ht="15.75">
      <c r="A192" s="188"/>
      <c r="B192" s="49" t="s">
        <v>107</v>
      </c>
      <c r="C192" s="78" t="s">
        <v>91</v>
      </c>
      <c r="D192" s="5">
        <f>0.0376*C192/180</f>
        <v>0.03342222222222222</v>
      </c>
      <c r="E192" s="5">
        <f>0.008976*C192/180</f>
        <v>0.007978666666666665</v>
      </c>
      <c r="F192" s="5">
        <f>6.81863*C192/180</f>
        <v>6.061004444444444</v>
      </c>
      <c r="G192" s="25">
        <f>29.34*C192/180</f>
        <v>26.08</v>
      </c>
      <c r="H192" s="70" t="s">
        <v>39</v>
      </c>
    </row>
    <row r="193" spans="1:8" ht="15.75">
      <c r="A193" s="203" t="s">
        <v>70</v>
      </c>
      <c r="B193" s="204"/>
      <c r="C193" s="117">
        <v>360</v>
      </c>
      <c r="D193" s="31">
        <f>SUM(D190:D192)</f>
        <v>25.586460068376066</v>
      </c>
      <c r="E193" s="31">
        <f>SUM(E190:E192)</f>
        <v>24.812581743589746</v>
      </c>
      <c r="F193" s="31">
        <f>SUM(F190:F192)</f>
        <v>30.734732444444447</v>
      </c>
      <c r="G193" s="31">
        <f>SUM(G190:G192)</f>
        <v>450.348491076923</v>
      </c>
      <c r="H193" s="70"/>
    </row>
    <row r="194" spans="1:8" ht="15.75">
      <c r="A194" s="124"/>
      <c r="B194" s="111" t="s">
        <v>21</v>
      </c>
      <c r="C194" s="86"/>
      <c r="D194" s="34">
        <f>D179+D181+D189+D193</f>
        <v>60.140268735042724</v>
      </c>
      <c r="E194" s="34">
        <f>E179+E181+E189+E193</f>
        <v>59.753575076923084</v>
      </c>
      <c r="F194" s="34">
        <f>F179+F181+F189+F193</f>
        <v>179.64292911111113</v>
      </c>
      <c r="G194" s="34">
        <f>G179+G181+G189+G193</f>
        <v>1499.3890057435897</v>
      </c>
      <c r="H194" s="80"/>
    </row>
    <row r="195" spans="1:8" ht="15.75">
      <c r="A195" s="175" t="s">
        <v>9</v>
      </c>
      <c r="B195" s="124" t="s">
        <v>213</v>
      </c>
      <c r="C195" s="124"/>
      <c r="D195" s="124"/>
      <c r="E195" s="124"/>
      <c r="F195" s="124"/>
      <c r="G195" s="124"/>
      <c r="H195" s="124"/>
    </row>
    <row r="196" spans="1:8" ht="25.5">
      <c r="A196" s="176"/>
      <c r="B196" s="16" t="s">
        <v>89</v>
      </c>
      <c r="C196" s="6">
        <v>145</v>
      </c>
      <c r="D196" s="27">
        <f>5.6212*C196/130</f>
        <v>6.2698</v>
      </c>
      <c r="E196" s="27">
        <f>2.3738*C196/130</f>
        <v>2.6477000000000004</v>
      </c>
      <c r="F196" s="27">
        <f>23.209277*C196/130</f>
        <v>25.8872705</v>
      </c>
      <c r="G196" s="104">
        <f>103.686108*C196/130</f>
        <v>115.6498896923077</v>
      </c>
      <c r="H196" s="100" t="s">
        <v>121</v>
      </c>
    </row>
    <row r="197" spans="1:8" ht="15.75">
      <c r="A197" s="176"/>
      <c r="B197" s="48" t="s">
        <v>96</v>
      </c>
      <c r="C197" s="69" t="s">
        <v>217</v>
      </c>
      <c r="D197" s="20">
        <v>2.33</v>
      </c>
      <c r="E197" s="20">
        <v>8.12</v>
      </c>
      <c r="F197" s="20">
        <v>15.55</v>
      </c>
      <c r="G197" s="5">
        <v>144.7</v>
      </c>
      <c r="H197" s="35" t="s">
        <v>49</v>
      </c>
    </row>
    <row r="198" spans="1:8" ht="25.5">
      <c r="A198" s="176"/>
      <c r="B198" s="48" t="s">
        <v>97</v>
      </c>
      <c r="C198" s="21" t="s">
        <v>37</v>
      </c>
      <c r="D198" s="27">
        <f>1.62432*C198/150</f>
        <v>1.9491839999999998</v>
      </c>
      <c r="E198" s="27">
        <f>1.66144*C198/150</f>
        <v>1.9937280000000002</v>
      </c>
      <c r="F198" s="27">
        <f>9.03266*C198/150</f>
        <v>10.839191999999999</v>
      </c>
      <c r="G198" s="27">
        <f>57.58088*C198/150</f>
        <v>69.097056</v>
      </c>
      <c r="H198" s="10" t="s">
        <v>77</v>
      </c>
    </row>
    <row r="199" spans="1:8" ht="15.75">
      <c r="A199" s="177"/>
      <c r="B199" s="123" t="s">
        <v>10</v>
      </c>
      <c r="C199" s="122">
        <v>370</v>
      </c>
      <c r="D199" s="31">
        <f>SUM(D196:D198)</f>
        <v>10.548984</v>
      </c>
      <c r="E199" s="31">
        <f>SUM(E196:E198)</f>
        <v>12.761428</v>
      </c>
      <c r="F199" s="31">
        <f>SUM(F196:F198)</f>
        <v>52.276462499999994</v>
      </c>
      <c r="G199" s="31">
        <f>SUM(G196:G198)</f>
        <v>329.4469456923077</v>
      </c>
      <c r="H199" s="70"/>
    </row>
    <row r="200" spans="1:8" ht="15.75">
      <c r="A200" s="175" t="s">
        <v>11</v>
      </c>
      <c r="B200" s="119" t="s">
        <v>169</v>
      </c>
      <c r="C200" s="121"/>
      <c r="D200" s="36"/>
      <c r="E200" s="36"/>
      <c r="F200" s="36"/>
      <c r="G200" s="36"/>
      <c r="H200" s="70"/>
    </row>
    <row r="201" spans="1:8" ht="15.75">
      <c r="A201" s="176"/>
      <c r="B201" s="49" t="s">
        <v>34</v>
      </c>
      <c r="C201" s="121">
        <v>100</v>
      </c>
      <c r="D201" s="36">
        <f>0.75*C201/150</f>
        <v>0.5</v>
      </c>
      <c r="E201" s="36">
        <f>0.15*C201/150</f>
        <v>0.1</v>
      </c>
      <c r="F201" s="36">
        <f>15.15*C201/150</f>
        <v>10.1</v>
      </c>
      <c r="G201" s="36">
        <f>69*C201/150</f>
        <v>46</v>
      </c>
      <c r="H201" s="70" t="s">
        <v>40</v>
      </c>
    </row>
    <row r="202" spans="1:8" ht="15.75">
      <c r="A202" s="176"/>
      <c r="B202" s="119" t="s">
        <v>11</v>
      </c>
      <c r="C202" s="74"/>
      <c r="D202" s="5"/>
      <c r="E202" s="5"/>
      <c r="F202" s="5"/>
      <c r="G202" s="39"/>
      <c r="H202" s="115"/>
    </row>
    <row r="203" spans="1:8" ht="15.75">
      <c r="A203" s="176"/>
      <c r="B203" s="49" t="s">
        <v>163</v>
      </c>
      <c r="C203" s="74">
        <v>35</v>
      </c>
      <c r="D203" s="5">
        <v>0.55</v>
      </c>
      <c r="E203" s="5">
        <v>0.1</v>
      </c>
      <c r="F203" s="5">
        <v>1.9</v>
      </c>
      <c r="G203" s="39">
        <v>12</v>
      </c>
      <c r="H203" s="120" t="s">
        <v>185</v>
      </c>
    </row>
    <row r="204" spans="1:8" ht="45" customHeight="1">
      <c r="A204" s="176"/>
      <c r="B204" s="63" t="s">
        <v>114</v>
      </c>
      <c r="C204" s="11">
        <v>170</v>
      </c>
      <c r="D204" s="4">
        <v>3.409688</v>
      </c>
      <c r="E204" s="4">
        <v>5.145251999999999</v>
      </c>
      <c r="F204" s="4">
        <v>6.181629999999999</v>
      </c>
      <c r="G204" s="4">
        <v>84.67254</v>
      </c>
      <c r="H204" s="65" t="s">
        <v>86</v>
      </c>
    </row>
    <row r="205" spans="1:8" ht="50.25" customHeight="1">
      <c r="A205" s="176"/>
      <c r="B205" s="64" t="s">
        <v>99</v>
      </c>
      <c r="C205" s="1">
        <v>170</v>
      </c>
      <c r="D205" s="3">
        <v>15.67</v>
      </c>
      <c r="E205" s="3">
        <v>14.94</v>
      </c>
      <c r="F205" s="3">
        <v>13.48</v>
      </c>
      <c r="G205" s="3">
        <v>251.05</v>
      </c>
      <c r="H205" s="95" t="s">
        <v>65</v>
      </c>
    </row>
    <row r="206" spans="1:8" ht="15.75">
      <c r="A206" s="176"/>
      <c r="B206" s="48" t="s">
        <v>100</v>
      </c>
      <c r="C206" s="23">
        <v>180</v>
      </c>
      <c r="D206" s="20">
        <f>0.48*C206/150</f>
        <v>0.576</v>
      </c>
      <c r="E206" s="20">
        <f>0.2*C206/150</f>
        <v>0.24</v>
      </c>
      <c r="F206" s="20">
        <f>12.95*C206/150</f>
        <v>15.54</v>
      </c>
      <c r="G206" s="20">
        <f>55.52*C206/150</f>
        <v>66.62400000000001</v>
      </c>
      <c r="H206" s="70" t="s">
        <v>52</v>
      </c>
    </row>
    <row r="207" spans="1:8" ht="15.75">
      <c r="A207" s="177"/>
      <c r="B207" s="48" t="s">
        <v>12</v>
      </c>
      <c r="C207" s="23">
        <v>25</v>
      </c>
      <c r="D207" s="20">
        <f>1.32*C207/20</f>
        <v>1.65</v>
      </c>
      <c r="E207" s="20">
        <f>0.22*C207/20</f>
        <v>0.275</v>
      </c>
      <c r="F207" s="20">
        <f>8.2*C207/20</f>
        <v>10.249999999999998</v>
      </c>
      <c r="G207" s="25">
        <f>40*C207/20</f>
        <v>50</v>
      </c>
      <c r="H207" s="70" t="s">
        <v>44</v>
      </c>
    </row>
    <row r="208" spans="1:8" ht="15.75">
      <c r="A208" s="182" t="s">
        <v>69</v>
      </c>
      <c r="B208" s="48" t="s">
        <v>33</v>
      </c>
      <c r="C208" s="74">
        <v>25</v>
      </c>
      <c r="D208" s="20">
        <f>2.28*C208/30</f>
        <v>1.8999999999999997</v>
      </c>
      <c r="E208" s="20">
        <f>0.24*C208/30</f>
        <v>0.2</v>
      </c>
      <c r="F208" s="20">
        <f>14.76*C208/30</f>
        <v>12.3</v>
      </c>
      <c r="G208" s="20">
        <f>70.5*C208/30</f>
        <v>58.75</v>
      </c>
      <c r="H208" s="70" t="s">
        <v>43</v>
      </c>
    </row>
    <row r="209" spans="1:8" ht="15.75">
      <c r="A209" s="205"/>
      <c r="B209" s="126" t="s">
        <v>13</v>
      </c>
      <c r="C209" s="122">
        <v>605</v>
      </c>
      <c r="D209" s="31">
        <f>SUM(D203:D208)</f>
        <v>23.755688</v>
      </c>
      <c r="E209" s="31">
        <f>SUM(E203:E208)</f>
        <v>20.900251999999995</v>
      </c>
      <c r="F209" s="31">
        <f>SUM(F203:F208)</f>
        <v>59.65163</v>
      </c>
      <c r="G209" s="31">
        <f>SUM(G203:G208)</f>
        <v>523.09654</v>
      </c>
      <c r="H209" s="70"/>
    </row>
    <row r="210" spans="1:8" ht="31.5" customHeight="1">
      <c r="A210" s="205"/>
      <c r="B210" s="58" t="s">
        <v>164</v>
      </c>
      <c r="C210" s="35">
        <v>145</v>
      </c>
      <c r="D210" s="25">
        <v>19.175919999999998</v>
      </c>
      <c r="E210" s="25">
        <v>12.29168</v>
      </c>
      <c r="F210" s="25">
        <v>39.07340000000001</v>
      </c>
      <c r="G210" s="25">
        <v>343</v>
      </c>
      <c r="H210" s="120" t="s">
        <v>120</v>
      </c>
    </row>
    <row r="211" spans="1:8" ht="15.75">
      <c r="A211" s="205"/>
      <c r="B211" s="48" t="s">
        <v>101</v>
      </c>
      <c r="C211" s="23">
        <v>200</v>
      </c>
      <c r="D211" s="20">
        <f>0.23*C211/180</f>
        <v>0.25555555555555554</v>
      </c>
      <c r="E211" s="20">
        <f>0.05*C211/180</f>
        <v>0.05555555555555555</v>
      </c>
      <c r="F211" s="20">
        <f>6.98*C211/180</f>
        <v>7.7555555555555555</v>
      </c>
      <c r="G211" s="25">
        <f>29.34*C211/180</f>
        <v>32.6</v>
      </c>
      <c r="H211" s="70" t="s">
        <v>47</v>
      </c>
    </row>
    <row r="212" spans="1:8" ht="15.75">
      <c r="A212" s="183"/>
      <c r="B212" s="48" t="s">
        <v>12</v>
      </c>
      <c r="C212" s="23">
        <v>30</v>
      </c>
      <c r="D212" s="20">
        <f>1.32*C212/20</f>
        <v>1.98</v>
      </c>
      <c r="E212" s="20">
        <f>0.22*C212/20</f>
        <v>0.32999999999999996</v>
      </c>
      <c r="F212" s="20">
        <f>8.2*C212/20</f>
        <v>12.299999999999999</v>
      </c>
      <c r="G212" s="25">
        <f>40*C212/20</f>
        <v>60</v>
      </c>
      <c r="H212" s="70" t="s">
        <v>44</v>
      </c>
    </row>
    <row r="213" spans="1:8" ht="15.75">
      <c r="A213" s="195" t="s">
        <v>165</v>
      </c>
      <c r="B213" s="196"/>
      <c r="C213" s="91">
        <v>375</v>
      </c>
      <c r="D213" s="92">
        <f>SUM(D210:D212)</f>
        <v>21.411475555555555</v>
      </c>
      <c r="E213" s="92">
        <f>SUM(E210:E212)</f>
        <v>12.677235555555555</v>
      </c>
      <c r="F213" s="92">
        <f>SUM(F210:F212)</f>
        <v>59.12895555555556</v>
      </c>
      <c r="G213" s="92">
        <f>SUM(G210:G212)</f>
        <v>435.6</v>
      </c>
      <c r="H213" s="70"/>
    </row>
    <row r="214" spans="2:8" ht="15.75">
      <c r="B214" s="155" t="s">
        <v>30</v>
      </c>
      <c r="C214" s="150"/>
      <c r="D214" s="151">
        <f>D199+D201+D209+D213</f>
        <v>56.21614755555555</v>
      </c>
      <c r="E214" s="151">
        <f>E199+E201+E209+E213</f>
        <v>46.43891555555555</v>
      </c>
      <c r="F214" s="151">
        <f>F199+F201+F209+F213</f>
        <v>181.15704805555555</v>
      </c>
      <c r="G214" s="151">
        <f>G199+G201+G209+G213</f>
        <v>1334.1434856923079</v>
      </c>
      <c r="H214" s="152"/>
    </row>
    <row r="215" spans="2:8" ht="15.75">
      <c r="B215" s="53"/>
      <c r="C215" s="24"/>
      <c r="D215" s="45"/>
      <c r="E215" s="45"/>
      <c r="F215" s="45"/>
      <c r="G215" s="45"/>
      <c r="H215" s="8"/>
    </row>
  </sheetData>
  <sheetProtection/>
  <mergeCells count="73">
    <mergeCell ref="A193:B193"/>
    <mergeCell ref="A195:A199"/>
    <mergeCell ref="A200:A207"/>
    <mergeCell ref="A208:A212"/>
    <mergeCell ref="A213:B213"/>
    <mergeCell ref="A169:A172"/>
    <mergeCell ref="A173:B173"/>
    <mergeCell ref="A175:A178"/>
    <mergeCell ref="A179:B179"/>
    <mergeCell ref="A180:A188"/>
    <mergeCell ref="A189:A192"/>
    <mergeCell ref="A153:B153"/>
    <mergeCell ref="A154:B154"/>
    <mergeCell ref="A155:A158"/>
    <mergeCell ref="A159:B159"/>
    <mergeCell ref="A160:A161"/>
    <mergeCell ref="A162:A168"/>
    <mergeCell ref="A132:B132"/>
    <mergeCell ref="A133:B133"/>
    <mergeCell ref="A135:A138"/>
    <mergeCell ref="A139:A140"/>
    <mergeCell ref="A141:A149"/>
    <mergeCell ref="A150:A152"/>
    <mergeCell ref="A111:B111"/>
    <mergeCell ref="A113:B113"/>
    <mergeCell ref="A114:A117"/>
    <mergeCell ref="A118:A119"/>
    <mergeCell ref="A120:A128"/>
    <mergeCell ref="A129:A131"/>
    <mergeCell ref="B88:C88"/>
    <mergeCell ref="A90:A93"/>
    <mergeCell ref="A94:A95"/>
    <mergeCell ref="A96:A103"/>
    <mergeCell ref="A104:B104"/>
    <mergeCell ref="A105:A110"/>
    <mergeCell ref="A69:H69"/>
    <mergeCell ref="A70:A72"/>
    <mergeCell ref="A73:B73"/>
    <mergeCell ref="A75:A81"/>
    <mergeCell ref="A82:B82"/>
    <mergeCell ref="A83:A87"/>
    <mergeCell ref="A51:A53"/>
    <mergeCell ref="A54:B54"/>
    <mergeCell ref="A56:A62"/>
    <mergeCell ref="A63:B63"/>
    <mergeCell ref="A64:A66"/>
    <mergeCell ref="A67:B67"/>
    <mergeCell ref="A37:A43"/>
    <mergeCell ref="A44:B44"/>
    <mergeCell ref="A45:A47"/>
    <mergeCell ref="A48:B48"/>
    <mergeCell ref="A49:B49"/>
    <mergeCell ref="A50:H50"/>
    <mergeCell ref="A24:A28"/>
    <mergeCell ref="A29:B29"/>
    <mergeCell ref="A30:B30"/>
    <mergeCell ref="A31:H31"/>
    <mergeCell ref="A32:A34"/>
    <mergeCell ref="A35:B35"/>
    <mergeCell ref="A9:H9"/>
    <mergeCell ref="A10:H10"/>
    <mergeCell ref="A11:A13"/>
    <mergeCell ref="A14:B14"/>
    <mergeCell ref="A16:A22"/>
    <mergeCell ref="A23:B23"/>
    <mergeCell ref="G2:H2"/>
    <mergeCell ref="A5:H5"/>
    <mergeCell ref="A6:B6"/>
    <mergeCell ref="A7:A8"/>
    <mergeCell ref="B7:B8"/>
    <mergeCell ref="C7:C8"/>
    <mergeCell ref="D7:F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5"/>
  <sheetViews>
    <sheetView zoomScale="80" zoomScaleNormal="80" zoomScalePageLayoutView="0" workbookViewId="0" topLeftCell="A1">
      <selection activeCell="E2" sqref="E2"/>
    </sheetView>
  </sheetViews>
  <sheetFormatPr defaultColWidth="9.140625" defaultRowHeight="15"/>
  <cols>
    <col min="1" max="1" width="19.7109375" style="46" customWidth="1"/>
    <col min="2" max="2" width="50.28125" style="59" customWidth="1"/>
    <col min="3" max="3" width="11.57421875" style="46" bestFit="1" customWidth="1"/>
    <col min="4" max="5" width="10.28125" style="46" customWidth="1"/>
    <col min="6" max="6" width="11.00390625" style="46" customWidth="1"/>
    <col min="7" max="7" width="10.28125" style="46" customWidth="1"/>
    <col min="8" max="8" width="11.00390625" style="46" customWidth="1"/>
  </cols>
  <sheetData>
    <row r="1" spans="1:9" ht="15.75">
      <c r="A1" s="40"/>
      <c r="B1" s="47"/>
      <c r="C1" s="41"/>
      <c r="D1" s="42"/>
      <c r="E1" s="42"/>
      <c r="F1" s="42"/>
      <c r="G1" s="60" t="s">
        <v>18</v>
      </c>
      <c r="H1" s="61"/>
      <c r="I1" s="62"/>
    </row>
    <row r="2" spans="1:9" ht="15.75">
      <c r="A2" s="40"/>
      <c r="B2" s="47"/>
      <c r="C2" s="41"/>
      <c r="D2" s="42"/>
      <c r="E2" s="42"/>
      <c r="F2" s="42"/>
      <c r="G2" s="159" t="s">
        <v>76</v>
      </c>
      <c r="H2" s="160"/>
      <c r="I2" s="62"/>
    </row>
    <row r="3" spans="1:9" ht="15.75">
      <c r="A3" s="40"/>
      <c r="B3" s="47"/>
      <c r="C3" s="41"/>
      <c r="D3" s="42"/>
      <c r="E3" s="42"/>
      <c r="F3" s="42"/>
      <c r="G3" s="60" t="s">
        <v>123</v>
      </c>
      <c r="H3" s="61"/>
      <c r="I3" s="62"/>
    </row>
    <row r="4" spans="1:8" ht="15.75">
      <c r="A4" s="40"/>
      <c r="B4" s="47"/>
      <c r="C4" s="41"/>
      <c r="D4" s="42"/>
      <c r="E4" s="42"/>
      <c r="F4" s="42"/>
      <c r="G4" s="43" t="s">
        <v>222</v>
      </c>
      <c r="H4" s="17"/>
    </row>
    <row r="5" spans="1:8" ht="18.75">
      <c r="A5" s="161" t="s">
        <v>221</v>
      </c>
      <c r="B5" s="162"/>
      <c r="C5" s="162"/>
      <c r="D5" s="162"/>
      <c r="E5" s="162"/>
      <c r="F5" s="162"/>
      <c r="G5" s="162"/>
      <c r="H5" s="163"/>
    </row>
    <row r="6" spans="1:8" ht="15.75">
      <c r="A6" s="164" t="s">
        <v>66</v>
      </c>
      <c r="B6" s="164"/>
      <c r="C6" s="67"/>
      <c r="D6" s="44"/>
      <c r="E6" s="44"/>
      <c r="F6" s="44"/>
      <c r="G6" s="44"/>
      <c r="H6" s="68"/>
    </row>
    <row r="7" spans="1:8" ht="15.75">
      <c r="A7" s="165" t="s">
        <v>2</v>
      </c>
      <c r="B7" s="166" t="s">
        <v>0</v>
      </c>
      <c r="C7" s="165" t="s">
        <v>1</v>
      </c>
      <c r="D7" s="166" t="s">
        <v>3</v>
      </c>
      <c r="E7" s="166"/>
      <c r="F7" s="166"/>
      <c r="G7" s="18"/>
      <c r="H7" s="165" t="s">
        <v>7</v>
      </c>
    </row>
    <row r="8" spans="1:8" ht="15.75">
      <c r="A8" s="165"/>
      <c r="B8" s="166"/>
      <c r="C8" s="165"/>
      <c r="D8" s="19" t="s">
        <v>4</v>
      </c>
      <c r="E8" s="19" t="s">
        <v>5</v>
      </c>
      <c r="F8" s="19" t="s">
        <v>6</v>
      </c>
      <c r="G8" s="18" t="s">
        <v>36</v>
      </c>
      <c r="H8" s="165"/>
    </row>
    <row r="9" spans="1:8" ht="15.75">
      <c r="A9" s="167" t="s">
        <v>8</v>
      </c>
      <c r="B9" s="167"/>
      <c r="C9" s="167"/>
      <c r="D9" s="167"/>
      <c r="E9" s="167"/>
      <c r="F9" s="167"/>
      <c r="G9" s="167"/>
      <c r="H9" s="167"/>
    </row>
    <row r="10" spans="1:8" ht="15.75">
      <c r="A10" s="168" t="s">
        <v>24</v>
      </c>
      <c r="B10" s="168"/>
      <c r="C10" s="168"/>
      <c r="D10" s="168"/>
      <c r="E10" s="168"/>
      <c r="F10" s="168"/>
      <c r="G10" s="168"/>
      <c r="H10" s="168"/>
    </row>
    <row r="11" spans="1:8" ht="25.5">
      <c r="A11" s="165" t="s">
        <v>9</v>
      </c>
      <c r="B11" s="16" t="s">
        <v>124</v>
      </c>
      <c r="C11" s="69" t="s">
        <v>91</v>
      </c>
      <c r="D11" s="20">
        <f>4.662541*C11/130</f>
        <v>5.738512</v>
      </c>
      <c r="E11" s="20">
        <f>2.221648*C11/130</f>
        <v>2.734336</v>
      </c>
      <c r="F11" s="20">
        <f>29.896685*C11/130</f>
        <v>36.79592</v>
      </c>
      <c r="G11" s="20">
        <f>105*C11/140</f>
        <v>120</v>
      </c>
      <c r="H11" s="85" t="s">
        <v>175</v>
      </c>
    </row>
    <row r="12" spans="1:8" ht="25.5">
      <c r="A12" s="165"/>
      <c r="B12" s="48" t="s">
        <v>125</v>
      </c>
      <c r="C12" s="69" t="s">
        <v>170</v>
      </c>
      <c r="D12" s="20">
        <v>2.33</v>
      </c>
      <c r="E12" s="20">
        <v>8.12</v>
      </c>
      <c r="F12" s="20">
        <v>15.55</v>
      </c>
      <c r="G12" s="5">
        <v>144.7</v>
      </c>
      <c r="H12" s="120" t="s">
        <v>38</v>
      </c>
    </row>
    <row r="13" spans="1:8" ht="25.5">
      <c r="A13" s="165"/>
      <c r="B13" s="48" t="s">
        <v>97</v>
      </c>
      <c r="C13" s="21" t="s">
        <v>67</v>
      </c>
      <c r="D13" s="27">
        <f>1.62432*C13/150</f>
        <v>2.1657599999999997</v>
      </c>
      <c r="E13" s="27">
        <f>1.66144*C13/150</f>
        <v>2.2152533333333335</v>
      </c>
      <c r="F13" s="27">
        <f>9.03266*C13/150</f>
        <v>12.043546666666666</v>
      </c>
      <c r="G13" s="27">
        <f>57.58088*C13/150</f>
        <v>76.77450666666667</v>
      </c>
      <c r="H13" s="10" t="s">
        <v>77</v>
      </c>
    </row>
    <row r="14" spans="1:8" ht="15.75">
      <c r="A14" s="169" t="s">
        <v>10</v>
      </c>
      <c r="B14" s="169"/>
      <c r="C14" s="71" t="s">
        <v>92</v>
      </c>
      <c r="D14" s="22">
        <f>SUM(D11:D13)</f>
        <v>10.234272</v>
      </c>
      <c r="E14" s="22">
        <f>SUM(E11:E13)</f>
        <v>13.069589333333333</v>
      </c>
      <c r="F14" s="22">
        <f>SUM(F11:F13)</f>
        <v>64.38946666666668</v>
      </c>
      <c r="G14" s="22">
        <f>SUM(G11:G13)</f>
        <v>341.4745066666667</v>
      </c>
      <c r="H14" s="70"/>
    </row>
    <row r="15" spans="1:8" ht="15.75">
      <c r="A15" s="72" t="s">
        <v>31</v>
      </c>
      <c r="B15" s="49" t="s">
        <v>34</v>
      </c>
      <c r="C15" s="18">
        <v>180</v>
      </c>
      <c r="D15" s="36">
        <f>0.75*C15/150</f>
        <v>0.9</v>
      </c>
      <c r="E15" s="36">
        <f>0.15*C15/150</f>
        <v>0.18</v>
      </c>
      <c r="F15" s="36">
        <f>15.15*C15/150</f>
        <v>18.18</v>
      </c>
      <c r="G15" s="36">
        <f>69*C15/150</f>
        <v>82.8</v>
      </c>
      <c r="H15" s="70" t="s">
        <v>40</v>
      </c>
    </row>
    <row r="16" spans="1:8" ht="38.25">
      <c r="A16" s="166" t="s">
        <v>11</v>
      </c>
      <c r="B16" s="50" t="s">
        <v>103</v>
      </c>
      <c r="C16" s="23">
        <v>50</v>
      </c>
      <c r="D16" s="20">
        <f>0.5533845*C16/30</f>
        <v>0.9223075</v>
      </c>
      <c r="E16" s="20">
        <f>1.4412174*C16/30</f>
        <v>2.4020289999999997</v>
      </c>
      <c r="F16" s="20">
        <f>2.8616133*C16/30</f>
        <v>4.7693555000000005</v>
      </c>
      <c r="G16" s="20">
        <f>26.6*C16/30</f>
        <v>44.333333333333336</v>
      </c>
      <c r="H16" s="73" t="s">
        <v>72</v>
      </c>
    </row>
    <row r="17" spans="1:8" ht="38.25">
      <c r="A17" s="166"/>
      <c r="B17" s="16" t="s">
        <v>126</v>
      </c>
      <c r="C17" s="74">
        <v>200</v>
      </c>
      <c r="D17" s="20">
        <v>4.002188</v>
      </c>
      <c r="E17" s="20">
        <v>7.6576319999999996</v>
      </c>
      <c r="F17" s="20">
        <v>8.4317</v>
      </c>
      <c r="G17" s="20">
        <v>118.8</v>
      </c>
      <c r="H17" s="85" t="s">
        <v>177</v>
      </c>
    </row>
    <row r="18" spans="1:8" ht="38.25">
      <c r="A18" s="166"/>
      <c r="B18" s="16" t="s">
        <v>129</v>
      </c>
      <c r="C18" s="9">
        <v>70</v>
      </c>
      <c r="D18" s="13">
        <f>7.3823464*C18/50</f>
        <v>10.335284960000001</v>
      </c>
      <c r="E18" s="13">
        <f>8.9464936*C18/50</f>
        <v>12.52509104</v>
      </c>
      <c r="F18" s="13">
        <f>1.657565*C18/50</f>
        <v>2.320591</v>
      </c>
      <c r="G18" s="13">
        <f>116.678088*C18/50</f>
        <v>163.3493232</v>
      </c>
      <c r="H18" s="131" t="s">
        <v>81</v>
      </c>
    </row>
    <row r="19" spans="1:8" ht="25.5">
      <c r="A19" s="166"/>
      <c r="B19" s="48" t="s">
        <v>127</v>
      </c>
      <c r="C19" s="35">
        <v>130</v>
      </c>
      <c r="D19" s="25">
        <f>2.612918*C19/110</f>
        <v>3.087994</v>
      </c>
      <c r="E19" s="25">
        <f>2.801876*C19/110</f>
        <v>3.311308</v>
      </c>
      <c r="F19" s="25">
        <f>26.4899635*C19/110</f>
        <v>31.3063205</v>
      </c>
      <c r="G19" s="25">
        <f>133*C19/110</f>
        <v>157.1818181818182</v>
      </c>
      <c r="H19" s="85" t="s">
        <v>42</v>
      </c>
    </row>
    <row r="20" spans="1:8" ht="15.75">
      <c r="A20" s="166"/>
      <c r="B20" s="48" t="s">
        <v>12</v>
      </c>
      <c r="C20" s="23">
        <v>25</v>
      </c>
      <c r="D20" s="20">
        <f>1.32*C20/20</f>
        <v>1.65</v>
      </c>
      <c r="E20" s="20">
        <f>0.22*C20/20</f>
        <v>0.275</v>
      </c>
      <c r="F20" s="20">
        <f>8.2*C20/20</f>
        <v>10.249999999999998</v>
      </c>
      <c r="G20" s="25">
        <f>40*C20/20</f>
        <v>50</v>
      </c>
      <c r="H20" s="70" t="s">
        <v>44</v>
      </c>
    </row>
    <row r="21" spans="1:8" ht="15.75">
      <c r="A21" s="166"/>
      <c r="B21" s="48" t="s">
        <v>33</v>
      </c>
      <c r="C21" s="74">
        <v>30</v>
      </c>
      <c r="D21" s="20">
        <f>2.28*C21/30</f>
        <v>2.28</v>
      </c>
      <c r="E21" s="20">
        <f>0.24*C21/30</f>
        <v>0.23999999999999996</v>
      </c>
      <c r="F21" s="20">
        <f>14.76*C21/30</f>
        <v>14.76</v>
      </c>
      <c r="G21" s="20">
        <f>70.5*C21/30</f>
        <v>70.5</v>
      </c>
      <c r="H21" s="70" t="s">
        <v>43</v>
      </c>
    </row>
    <row r="22" spans="1:8" ht="15.75">
      <c r="A22" s="166"/>
      <c r="B22" s="51" t="s">
        <v>128</v>
      </c>
      <c r="C22" s="23">
        <v>180</v>
      </c>
      <c r="D22" s="20">
        <f>0.11*C22/150</f>
        <v>0.132</v>
      </c>
      <c r="E22" s="20">
        <f>0.11*C22/150</f>
        <v>0.132</v>
      </c>
      <c r="F22" s="20">
        <f>11.75*C22/150</f>
        <v>14.1</v>
      </c>
      <c r="G22" s="20">
        <f>48.5*C22/150</f>
        <v>58.2</v>
      </c>
      <c r="H22" s="85" t="s">
        <v>62</v>
      </c>
    </row>
    <row r="23" spans="1:8" ht="15.75">
      <c r="A23" s="169" t="s">
        <v>13</v>
      </c>
      <c r="B23" s="169"/>
      <c r="C23" s="75">
        <v>685</v>
      </c>
      <c r="D23" s="26">
        <f>SUM(D16:D22)</f>
        <v>22.409774460000005</v>
      </c>
      <c r="E23" s="26">
        <f>SUM(E16:E22)</f>
        <v>26.543060039999997</v>
      </c>
      <c r="F23" s="26">
        <f>SUM(F16:F22)</f>
        <v>85.937967</v>
      </c>
      <c r="G23" s="26">
        <f>SUM(G16:G22)</f>
        <v>662.3644747151516</v>
      </c>
      <c r="H23" s="70"/>
    </row>
    <row r="24" spans="1:8" ht="26.25">
      <c r="A24" s="165" t="s">
        <v>69</v>
      </c>
      <c r="B24" s="52" t="s">
        <v>182</v>
      </c>
      <c r="C24" s="6">
        <v>200</v>
      </c>
      <c r="D24" s="27">
        <f>14.2*C24/160</f>
        <v>17.75</v>
      </c>
      <c r="E24" s="27">
        <f>11.49*C24/160</f>
        <v>14.3625</v>
      </c>
      <c r="F24" s="27">
        <f>13.81*C24/160</f>
        <v>17.2625</v>
      </c>
      <c r="G24" s="27">
        <f>215.49*C24/160</f>
        <v>269.3625</v>
      </c>
      <c r="H24" s="133" t="s">
        <v>58</v>
      </c>
    </row>
    <row r="25" spans="1:8" ht="15.75">
      <c r="A25" s="165"/>
      <c r="B25" s="48" t="s">
        <v>33</v>
      </c>
      <c r="C25" s="74">
        <v>20</v>
      </c>
      <c r="D25" s="20">
        <f>2.28*C25/30</f>
        <v>1.5199999999999998</v>
      </c>
      <c r="E25" s="20">
        <f>0.24*C25/30</f>
        <v>0.16</v>
      </c>
      <c r="F25" s="20">
        <f>14.76*C25/30</f>
        <v>9.84</v>
      </c>
      <c r="G25" s="20">
        <f>70.5*C25/30</f>
        <v>47</v>
      </c>
      <c r="H25" s="70" t="s">
        <v>43</v>
      </c>
    </row>
    <row r="26" spans="1:8" ht="15.75">
      <c r="A26" s="165"/>
      <c r="B26" s="48" t="s">
        <v>12</v>
      </c>
      <c r="C26" s="23">
        <v>20</v>
      </c>
      <c r="D26" s="20">
        <v>1.32</v>
      </c>
      <c r="E26" s="20">
        <v>0.22</v>
      </c>
      <c r="F26" s="20">
        <v>8.2</v>
      </c>
      <c r="G26" s="25">
        <v>40</v>
      </c>
      <c r="H26" s="70" t="s">
        <v>44</v>
      </c>
    </row>
    <row r="27" spans="1:8" ht="15.75">
      <c r="A27" s="165"/>
      <c r="B27" s="16" t="s">
        <v>101</v>
      </c>
      <c r="C27" s="23">
        <v>180</v>
      </c>
      <c r="D27" s="20">
        <f>4.35*C27/150</f>
        <v>5.219999999999999</v>
      </c>
      <c r="E27" s="20">
        <f>4.8*C27/150</f>
        <v>5.76</v>
      </c>
      <c r="F27" s="20">
        <f>7.05*C27/150</f>
        <v>8.46</v>
      </c>
      <c r="G27" s="25">
        <f>90*C27/150</f>
        <v>108</v>
      </c>
      <c r="H27" s="85" t="s">
        <v>47</v>
      </c>
    </row>
    <row r="28" spans="1:8" ht="38.25">
      <c r="A28" s="165"/>
      <c r="B28" s="48" t="s">
        <v>84</v>
      </c>
      <c r="C28" s="74">
        <v>50</v>
      </c>
      <c r="D28" s="20">
        <v>0.8</v>
      </c>
      <c r="E28" s="20">
        <v>2.1</v>
      </c>
      <c r="F28" s="20">
        <v>7.5</v>
      </c>
      <c r="G28" s="20">
        <v>52</v>
      </c>
      <c r="H28" s="85" t="s">
        <v>189</v>
      </c>
    </row>
    <row r="29" spans="1:8" ht="15.75">
      <c r="A29" s="167" t="s">
        <v>70</v>
      </c>
      <c r="B29" s="167"/>
      <c r="C29" s="19">
        <v>470</v>
      </c>
      <c r="D29" s="31">
        <f>SUM(D24:D28)</f>
        <v>26.61</v>
      </c>
      <c r="E29" s="31">
        <f>SUM(E24:E28)</f>
        <v>22.602500000000003</v>
      </c>
      <c r="F29" s="31">
        <f>SUM(F24:F28)</f>
        <v>51.262499999999996</v>
      </c>
      <c r="G29" s="31">
        <f>SUM(G24:G28)</f>
        <v>516.3625</v>
      </c>
      <c r="H29" s="70"/>
    </row>
    <row r="30" spans="1:8" ht="15.75">
      <c r="A30" s="170" t="s">
        <v>14</v>
      </c>
      <c r="B30" s="170"/>
      <c r="C30" s="76"/>
      <c r="D30" s="28">
        <f>D14+D15+D23+D29</f>
        <v>60.15404646</v>
      </c>
      <c r="E30" s="28">
        <f>E14+E15+E23+E29</f>
        <v>62.39514937333334</v>
      </c>
      <c r="F30" s="28">
        <f>F14+F15+F23+F29</f>
        <v>219.76993366666665</v>
      </c>
      <c r="G30" s="28">
        <f>G14+G15+G23+G29</f>
        <v>1603.0014813818182</v>
      </c>
      <c r="H30" s="77"/>
    </row>
    <row r="31" spans="1:8" ht="15.75">
      <c r="A31" s="168" t="s">
        <v>25</v>
      </c>
      <c r="B31" s="168"/>
      <c r="C31" s="168"/>
      <c r="D31" s="168"/>
      <c r="E31" s="168"/>
      <c r="F31" s="168"/>
      <c r="G31" s="168"/>
      <c r="H31" s="168"/>
    </row>
    <row r="32" spans="1:8" ht="25.5">
      <c r="A32" s="166" t="s">
        <v>9</v>
      </c>
      <c r="B32" s="66" t="s">
        <v>130</v>
      </c>
      <c r="C32" s="6">
        <v>160</v>
      </c>
      <c r="D32" s="27">
        <f>4.961884*C32/155</f>
        <v>5.121944774193549</v>
      </c>
      <c r="E32" s="27">
        <f>3.065216*C32/155</f>
        <v>3.1640939354838706</v>
      </c>
      <c r="F32" s="27">
        <f>19.133478*C32/155</f>
        <v>19.750686967741935</v>
      </c>
      <c r="G32" s="102">
        <f>92*C32/135</f>
        <v>109.03703703703704</v>
      </c>
      <c r="H32" s="128" t="s">
        <v>79</v>
      </c>
    </row>
    <row r="33" spans="1:8" ht="15.75">
      <c r="A33" s="166"/>
      <c r="B33" s="16" t="s">
        <v>131</v>
      </c>
      <c r="C33" s="78" t="s">
        <v>170</v>
      </c>
      <c r="D33" s="25">
        <v>6.52</v>
      </c>
      <c r="E33" s="25">
        <v>9.25</v>
      </c>
      <c r="F33" s="25">
        <v>21.965</v>
      </c>
      <c r="G33" s="25">
        <v>198.6</v>
      </c>
      <c r="H33" s="129" t="s">
        <v>49</v>
      </c>
    </row>
    <row r="34" spans="1:8" ht="15.75">
      <c r="A34" s="166"/>
      <c r="B34" s="16" t="s">
        <v>105</v>
      </c>
      <c r="C34" s="23">
        <v>200</v>
      </c>
      <c r="D34" s="25">
        <f>2.46*C34/180</f>
        <v>2.7333333333333334</v>
      </c>
      <c r="E34" s="25">
        <f>1.86*C34/180</f>
        <v>2.066666666666667</v>
      </c>
      <c r="F34" s="25">
        <f>11.94*C34/180</f>
        <v>13.266666666666667</v>
      </c>
      <c r="G34" s="25">
        <f>64*C34/180</f>
        <v>71.11111111111111</v>
      </c>
      <c r="H34" s="73" t="s">
        <v>59</v>
      </c>
    </row>
    <row r="35" spans="1:8" ht="15.75">
      <c r="A35" s="169" t="s">
        <v>10</v>
      </c>
      <c r="B35" s="169"/>
      <c r="C35" s="18">
        <v>410</v>
      </c>
      <c r="D35" s="22">
        <f>D32+D33+D34</f>
        <v>14.375278107526881</v>
      </c>
      <c r="E35" s="22">
        <f>E32+E33+E34</f>
        <v>14.480760602150538</v>
      </c>
      <c r="F35" s="22">
        <f>F32+F33+F34</f>
        <v>54.9823536344086</v>
      </c>
      <c r="G35" s="22">
        <f>G32+G33+G34</f>
        <v>378.7481481481482</v>
      </c>
      <c r="H35" s="70"/>
    </row>
    <row r="36" spans="1:8" ht="15.75">
      <c r="A36" s="79" t="s">
        <v>31</v>
      </c>
      <c r="B36" s="49" t="s">
        <v>132</v>
      </c>
      <c r="C36" s="18">
        <v>100</v>
      </c>
      <c r="D36" s="36">
        <f>0.75*C36/150</f>
        <v>0.5</v>
      </c>
      <c r="E36" s="36">
        <f>0.15*C36/150</f>
        <v>0.1</v>
      </c>
      <c r="F36" s="36">
        <f>15.15*C36/150</f>
        <v>10.1</v>
      </c>
      <c r="G36" s="36">
        <f>69*C36/150</f>
        <v>46</v>
      </c>
      <c r="H36" s="70" t="s">
        <v>48</v>
      </c>
    </row>
    <row r="37" spans="1:8" ht="15.75">
      <c r="A37" s="166" t="s">
        <v>11</v>
      </c>
      <c r="B37" s="16" t="s">
        <v>133</v>
      </c>
      <c r="C37" s="74">
        <v>50</v>
      </c>
      <c r="D37" s="5">
        <f>0.435955*C37/30</f>
        <v>0.7265916666666666</v>
      </c>
      <c r="E37" s="5">
        <f>2.379704*C37/30</f>
        <v>3.966173333333333</v>
      </c>
      <c r="F37" s="5">
        <f>1.967329*C37/30</f>
        <v>3.2788816666666665</v>
      </c>
      <c r="G37" s="39">
        <f>31*C37/30</f>
        <v>51.666666666666664</v>
      </c>
      <c r="H37" s="70" t="s">
        <v>183</v>
      </c>
    </row>
    <row r="38" spans="1:8" ht="25.5">
      <c r="A38" s="166"/>
      <c r="B38" s="16" t="s">
        <v>106</v>
      </c>
      <c r="C38" s="35">
        <v>210</v>
      </c>
      <c r="D38" s="5">
        <v>5.56104</v>
      </c>
      <c r="E38" s="5">
        <v>3.2049600000000003</v>
      </c>
      <c r="F38" s="5">
        <v>12.965679999999995</v>
      </c>
      <c r="G38" s="25">
        <v>102.9</v>
      </c>
      <c r="H38" s="70" t="s">
        <v>56</v>
      </c>
    </row>
    <row r="39" spans="1:8" ht="38.25">
      <c r="A39" s="166"/>
      <c r="B39" s="16" t="s">
        <v>194</v>
      </c>
      <c r="C39" s="6">
        <v>70</v>
      </c>
      <c r="D39" s="27">
        <f>6.55493333333333*C39/50</f>
        <v>9.176906666666662</v>
      </c>
      <c r="E39" s="27">
        <f>8.9628*C39/50</f>
        <v>12.54792</v>
      </c>
      <c r="F39" s="27">
        <f>6.37*C39/50</f>
        <v>8.918000000000001</v>
      </c>
      <c r="G39" s="27">
        <f>132*C39/50</f>
        <v>184.8</v>
      </c>
      <c r="H39" s="134" t="s">
        <v>193</v>
      </c>
    </row>
    <row r="40" spans="1:8" ht="25.5">
      <c r="A40" s="166"/>
      <c r="B40" s="16" t="s">
        <v>134</v>
      </c>
      <c r="C40" s="35">
        <v>130</v>
      </c>
      <c r="D40" s="25">
        <f>6.03*C40/110</f>
        <v>7.126363636363636</v>
      </c>
      <c r="E40" s="25">
        <f>4.6*C40/110</f>
        <v>5.4363636363636365</v>
      </c>
      <c r="F40" s="25">
        <f>26.35*C40/110</f>
        <v>31.14090909090909</v>
      </c>
      <c r="G40" s="25">
        <f>144*C40/110</f>
        <v>170.1818181818182</v>
      </c>
      <c r="H40" s="85" t="s">
        <v>55</v>
      </c>
    </row>
    <row r="41" spans="1:8" ht="25.5">
      <c r="A41" s="166"/>
      <c r="B41" s="51" t="s">
        <v>110</v>
      </c>
      <c r="C41" s="23">
        <v>180</v>
      </c>
      <c r="D41" s="20">
        <f>0.11*C41/180</f>
        <v>0.11</v>
      </c>
      <c r="E41" s="20">
        <f>0.04*C41/180</f>
        <v>0.04</v>
      </c>
      <c r="F41" s="20">
        <f>9.84*C41/180</f>
        <v>9.84</v>
      </c>
      <c r="G41" s="25">
        <f>40.17*C41/180</f>
        <v>40.17</v>
      </c>
      <c r="H41" s="70" t="s">
        <v>45</v>
      </c>
    </row>
    <row r="42" spans="1:8" ht="15.75">
      <c r="A42" s="166"/>
      <c r="B42" s="48" t="s">
        <v>12</v>
      </c>
      <c r="C42" s="23">
        <v>25</v>
      </c>
      <c r="D42" s="20">
        <f>1.32*C42/20</f>
        <v>1.65</v>
      </c>
      <c r="E42" s="20">
        <f>0.22*C42/20</f>
        <v>0.275</v>
      </c>
      <c r="F42" s="20">
        <f>8.2*C42/20</f>
        <v>10.249999999999998</v>
      </c>
      <c r="G42" s="25">
        <f>40*C42/20</f>
        <v>50</v>
      </c>
      <c r="H42" s="70" t="s">
        <v>44</v>
      </c>
    </row>
    <row r="43" spans="1:8" ht="15.75">
      <c r="A43" s="166"/>
      <c r="B43" s="48" t="s">
        <v>33</v>
      </c>
      <c r="C43" s="74">
        <v>25</v>
      </c>
      <c r="D43" s="20">
        <f>2.28*C43/30</f>
        <v>1.8999999999999997</v>
      </c>
      <c r="E43" s="20">
        <f>0.24*C43/30</f>
        <v>0.2</v>
      </c>
      <c r="F43" s="20">
        <f>14.76*C43/30</f>
        <v>12.3</v>
      </c>
      <c r="G43" s="20">
        <f>70.5*C43/30</f>
        <v>58.75</v>
      </c>
      <c r="H43" s="70" t="s">
        <v>43</v>
      </c>
    </row>
    <row r="44" spans="1:8" ht="15.75">
      <c r="A44" s="169" t="s">
        <v>13</v>
      </c>
      <c r="B44" s="169"/>
      <c r="C44" s="18">
        <v>690</v>
      </c>
      <c r="D44" s="26">
        <f>SUM(D37:D43)</f>
        <v>26.25090196969696</v>
      </c>
      <c r="E44" s="26">
        <f>SUM(E37:E43)</f>
        <v>25.67041696969697</v>
      </c>
      <c r="F44" s="26">
        <f>SUM(F37:F43)</f>
        <v>88.69347075757575</v>
      </c>
      <c r="G44" s="26">
        <f>SUM(G37:G43)</f>
        <v>658.4684848484849</v>
      </c>
      <c r="H44" s="70"/>
    </row>
    <row r="45" spans="1:8" ht="38.25">
      <c r="A45" s="165" t="s">
        <v>69</v>
      </c>
      <c r="B45" s="63" t="s">
        <v>119</v>
      </c>
      <c r="C45" s="78" t="s">
        <v>91</v>
      </c>
      <c r="D45" s="5">
        <v>12.0216622</v>
      </c>
      <c r="E45" s="5">
        <v>12.6157128</v>
      </c>
      <c r="F45" s="5">
        <v>69.97005770000001</v>
      </c>
      <c r="G45" s="25">
        <v>441</v>
      </c>
      <c r="H45" s="85" t="s">
        <v>190</v>
      </c>
    </row>
    <row r="46" spans="1:8" ht="15.75">
      <c r="A46" s="165"/>
      <c r="B46" s="49" t="s">
        <v>102</v>
      </c>
      <c r="C46" s="78" t="s">
        <v>67</v>
      </c>
      <c r="D46" s="5">
        <f>0.0376*C46/180</f>
        <v>0.04177777777777778</v>
      </c>
      <c r="E46" s="5">
        <f>0.008976*C46/180</f>
        <v>0.009973333333333332</v>
      </c>
      <c r="F46" s="5">
        <f>6.81863*C46/180</f>
        <v>7.576255555555555</v>
      </c>
      <c r="G46" s="25">
        <f>29.34*C46/180</f>
        <v>32.6</v>
      </c>
      <c r="H46" s="85" t="s">
        <v>181</v>
      </c>
    </row>
    <row r="47" spans="1:8" ht="15.75">
      <c r="A47" s="165"/>
      <c r="B47" s="53" t="s">
        <v>135</v>
      </c>
      <c r="C47" s="23">
        <v>50</v>
      </c>
      <c r="D47" s="29">
        <v>0.4</v>
      </c>
      <c r="E47" s="29">
        <v>0.4</v>
      </c>
      <c r="F47" s="29">
        <v>9.8</v>
      </c>
      <c r="G47" s="29">
        <v>47</v>
      </c>
      <c r="H47" s="70"/>
    </row>
    <row r="48" spans="1:8" ht="15.75">
      <c r="A48" s="171" t="s">
        <v>70</v>
      </c>
      <c r="B48" s="171"/>
      <c r="C48" s="30" t="s">
        <v>92</v>
      </c>
      <c r="D48" s="31">
        <f>SUM(D45:D47)</f>
        <v>12.463439977777778</v>
      </c>
      <c r="E48" s="31">
        <f>SUM(E45:E47)</f>
        <v>13.025686133333334</v>
      </c>
      <c r="F48" s="31">
        <f>SUM(F45:F47)</f>
        <v>87.34631325555556</v>
      </c>
      <c r="G48" s="31">
        <f>SUM(G45:G47)</f>
        <v>520.6</v>
      </c>
      <c r="H48" s="32"/>
    </row>
    <row r="49" spans="1:8" ht="15.75">
      <c r="A49" s="172" t="s">
        <v>29</v>
      </c>
      <c r="B49" s="172"/>
      <c r="C49" s="33"/>
      <c r="D49" s="34">
        <f>D35+D36+D44+D48</f>
        <v>53.58962005500162</v>
      </c>
      <c r="E49" s="34">
        <f>E35+E36+E44+E48</f>
        <v>53.276863705180844</v>
      </c>
      <c r="F49" s="34">
        <f>F35+F36+F44+F48</f>
        <v>241.1221376475399</v>
      </c>
      <c r="G49" s="34">
        <f>G35+G36+G44+G48</f>
        <v>1603.816632996633</v>
      </c>
      <c r="H49" s="80"/>
    </row>
    <row r="50" spans="1:8" ht="15.75">
      <c r="A50" s="168" t="s">
        <v>26</v>
      </c>
      <c r="B50" s="168"/>
      <c r="C50" s="168"/>
      <c r="D50" s="168"/>
      <c r="E50" s="168"/>
      <c r="F50" s="168"/>
      <c r="G50" s="168"/>
      <c r="H50" s="168"/>
    </row>
    <row r="51" spans="1:8" ht="25.5">
      <c r="A51" s="166" t="s">
        <v>9</v>
      </c>
      <c r="B51" s="16" t="s">
        <v>174</v>
      </c>
      <c r="C51" s="23">
        <v>160</v>
      </c>
      <c r="D51" s="20">
        <f>3.9339*C51/150</f>
        <v>4.19616</v>
      </c>
      <c r="E51" s="20">
        <f>1.73184*C51/150</f>
        <v>1.847296</v>
      </c>
      <c r="F51" s="20">
        <f>27.28908*C51/150</f>
        <v>29.108352</v>
      </c>
      <c r="G51" s="20">
        <f>140.4*C51/150</f>
        <v>149.76</v>
      </c>
      <c r="H51" s="129" t="s">
        <v>53</v>
      </c>
    </row>
    <row r="52" spans="1:8" ht="25.5">
      <c r="A52" s="166"/>
      <c r="B52" s="16" t="s">
        <v>104</v>
      </c>
      <c r="C52" s="78" t="s">
        <v>170</v>
      </c>
      <c r="D52" s="25">
        <v>6.52</v>
      </c>
      <c r="E52" s="25">
        <v>9.25</v>
      </c>
      <c r="F52" s="25">
        <v>21.965</v>
      </c>
      <c r="G52" s="25">
        <v>198.6</v>
      </c>
      <c r="H52" s="73" t="s">
        <v>38</v>
      </c>
    </row>
    <row r="53" spans="1:8" ht="15.75">
      <c r="A53" s="166"/>
      <c r="B53" s="16" t="s">
        <v>108</v>
      </c>
      <c r="C53" s="9">
        <v>200</v>
      </c>
      <c r="D53" s="27">
        <f>1.551*C53/200</f>
        <v>1.551</v>
      </c>
      <c r="E53" s="27">
        <f>1.58488*C53/200</f>
        <v>1.58488</v>
      </c>
      <c r="F53" s="27">
        <f>2.1749*C53/200</f>
        <v>2.1749</v>
      </c>
      <c r="G53" s="27">
        <f>29.16752*C53/200</f>
        <v>29.16752</v>
      </c>
      <c r="H53" s="10" t="s">
        <v>81</v>
      </c>
    </row>
    <row r="54" spans="1:8" ht="15.75">
      <c r="A54" s="169" t="s">
        <v>10</v>
      </c>
      <c r="B54" s="169"/>
      <c r="C54" s="18">
        <v>410</v>
      </c>
      <c r="D54" s="22">
        <f>SUM(D51:D53)</f>
        <v>12.267159999999999</v>
      </c>
      <c r="E54" s="22">
        <f>SUM(E51:E53)</f>
        <v>12.682176</v>
      </c>
      <c r="F54" s="22">
        <f>SUM(F51:F53)</f>
        <v>53.248252</v>
      </c>
      <c r="G54" s="22">
        <f>SUM(G51:G53)</f>
        <v>377.52752000000004</v>
      </c>
      <c r="H54" s="70"/>
    </row>
    <row r="55" spans="1:8" ht="15.75">
      <c r="A55" s="79" t="s">
        <v>23</v>
      </c>
      <c r="B55" s="49" t="s">
        <v>63</v>
      </c>
      <c r="C55" s="18">
        <v>100</v>
      </c>
      <c r="D55" s="22">
        <v>0.4</v>
      </c>
      <c r="E55" s="22">
        <v>0.4</v>
      </c>
      <c r="F55" s="22">
        <v>9.8</v>
      </c>
      <c r="G55" s="22">
        <v>47</v>
      </c>
      <c r="H55" s="70" t="s">
        <v>46</v>
      </c>
    </row>
    <row r="56" spans="1:8" ht="15.75">
      <c r="A56" s="166" t="s">
        <v>51</v>
      </c>
      <c r="B56" s="48" t="s">
        <v>136</v>
      </c>
      <c r="C56" s="35">
        <v>50</v>
      </c>
      <c r="D56" s="25">
        <f>0.2584*C56/30</f>
        <v>0.4306666666666667</v>
      </c>
      <c r="E56" s="25">
        <f>2.842748*C56/30</f>
        <v>4.737913333333333</v>
      </c>
      <c r="F56" s="25">
        <f>0.841568*C56/30</f>
        <v>1.4026133333333335</v>
      </c>
      <c r="G56" s="25">
        <f>29.9*C56/30</f>
        <v>49.833333333333336</v>
      </c>
      <c r="H56" s="70" t="s">
        <v>183</v>
      </c>
    </row>
    <row r="57" spans="1:8" ht="51">
      <c r="A57" s="166"/>
      <c r="B57" s="16" t="s">
        <v>137</v>
      </c>
      <c r="C57" s="74">
        <v>220</v>
      </c>
      <c r="D57" s="20">
        <v>4.5</v>
      </c>
      <c r="E57" s="20">
        <v>7.41</v>
      </c>
      <c r="F57" s="20">
        <v>7.2</v>
      </c>
      <c r="G57" s="20">
        <v>113.74</v>
      </c>
      <c r="H57" s="120" t="s">
        <v>68</v>
      </c>
    </row>
    <row r="58" spans="1:8" ht="25.5">
      <c r="A58" s="166"/>
      <c r="B58" s="16" t="s">
        <v>196</v>
      </c>
      <c r="C58" s="9">
        <v>70</v>
      </c>
      <c r="D58" s="7">
        <f>11.63344*C58/50</f>
        <v>16.286816</v>
      </c>
      <c r="E58" s="7">
        <f>11.01056*C58/50</f>
        <v>15.414784</v>
      </c>
      <c r="F58" s="7">
        <v>0</v>
      </c>
      <c r="G58" s="7">
        <f>145.6288*C58/50</f>
        <v>203.88032000000004</v>
      </c>
      <c r="H58" s="85" t="s">
        <v>192</v>
      </c>
    </row>
    <row r="59" spans="1:8" ht="25.5">
      <c r="A59" s="166"/>
      <c r="B59" s="16" t="s">
        <v>138</v>
      </c>
      <c r="C59" s="35">
        <v>130</v>
      </c>
      <c r="D59" s="25">
        <f>2.45*C59/120</f>
        <v>2.654166666666667</v>
      </c>
      <c r="E59" s="25">
        <f>3.43*C59/120</f>
        <v>3.7158333333333338</v>
      </c>
      <c r="F59" s="25">
        <f>16.05*C59/120</f>
        <v>17.3875</v>
      </c>
      <c r="G59" s="25">
        <f>95*C59/120</f>
        <v>102.91666666666667</v>
      </c>
      <c r="H59" s="85" t="s">
        <v>74</v>
      </c>
    </row>
    <row r="60" spans="1:8" ht="25.5">
      <c r="A60" s="166"/>
      <c r="B60" s="51" t="s">
        <v>110</v>
      </c>
      <c r="C60" s="23">
        <v>180</v>
      </c>
      <c r="D60" s="20">
        <f>0.41*C60/150</f>
        <v>0.492</v>
      </c>
      <c r="E60" s="20">
        <f>0.06*C60/150</f>
        <v>0.072</v>
      </c>
      <c r="F60" s="20">
        <f>17.01*C60/150</f>
        <v>20.412000000000003</v>
      </c>
      <c r="G60" s="20">
        <f>70.15*C60/150</f>
        <v>84.18</v>
      </c>
      <c r="H60" s="70" t="s">
        <v>45</v>
      </c>
    </row>
    <row r="61" spans="1:8" ht="15.75">
      <c r="A61" s="166"/>
      <c r="B61" s="48" t="s">
        <v>12</v>
      </c>
      <c r="C61" s="23">
        <v>25</v>
      </c>
      <c r="D61" s="20">
        <f>1.32*C61/20</f>
        <v>1.65</v>
      </c>
      <c r="E61" s="20">
        <f>0.22*C61/20</f>
        <v>0.275</v>
      </c>
      <c r="F61" s="20">
        <f>8.2*C61/20</f>
        <v>10.249999999999998</v>
      </c>
      <c r="G61" s="25">
        <f>40*C61/20</f>
        <v>50</v>
      </c>
      <c r="H61" s="70" t="s">
        <v>44</v>
      </c>
    </row>
    <row r="62" spans="1:8" ht="15.75">
      <c r="A62" s="166"/>
      <c r="B62" s="48" t="s">
        <v>33</v>
      </c>
      <c r="C62" s="74">
        <v>25</v>
      </c>
      <c r="D62" s="20">
        <f>2.28*C62/30</f>
        <v>1.8999999999999997</v>
      </c>
      <c r="E62" s="20">
        <f>0.24*C62/30</f>
        <v>0.2</v>
      </c>
      <c r="F62" s="20">
        <f>14.76*C62/30</f>
        <v>12.3</v>
      </c>
      <c r="G62" s="20">
        <f>70.5*C62/30</f>
        <v>58.75</v>
      </c>
      <c r="H62" s="70" t="s">
        <v>43</v>
      </c>
    </row>
    <row r="63" spans="1:8" ht="15.75">
      <c r="A63" s="173" t="s">
        <v>13</v>
      </c>
      <c r="B63" s="173"/>
      <c r="C63" s="18">
        <v>700</v>
      </c>
      <c r="D63" s="26">
        <f>D56+D57+D58+D59+D60+D61+D62</f>
        <v>27.913649333333336</v>
      </c>
      <c r="E63" s="26">
        <f>E56+E57+E58+E59+E60+E61+E62</f>
        <v>31.825530666666662</v>
      </c>
      <c r="F63" s="26">
        <f>F56+F57+F58+F59+F60+F61+F62</f>
        <v>68.95211333333333</v>
      </c>
      <c r="G63" s="26">
        <f>G56+G57+G58+G59+G60+G61+G62</f>
        <v>663.30032</v>
      </c>
      <c r="H63" s="70"/>
    </row>
    <row r="64" spans="1:8" ht="25.5">
      <c r="A64" s="165" t="s">
        <v>69</v>
      </c>
      <c r="B64" s="63" t="s">
        <v>197</v>
      </c>
      <c r="C64" s="35">
        <v>160</v>
      </c>
      <c r="D64" s="25">
        <v>19.59218</v>
      </c>
      <c r="E64" s="25">
        <v>8.916239999999998</v>
      </c>
      <c r="F64" s="25">
        <v>42.11626</v>
      </c>
      <c r="G64" s="25">
        <v>323</v>
      </c>
      <c r="H64" s="85" t="s">
        <v>75</v>
      </c>
    </row>
    <row r="65" spans="1:8" ht="15.75">
      <c r="A65" s="165"/>
      <c r="B65" s="49" t="s">
        <v>195</v>
      </c>
      <c r="C65" s="35">
        <v>180</v>
      </c>
      <c r="D65" s="25">
        <f>4.8*C65/150</f>
        <v>5.76</v>
      </c>
      <c r="E65" s="25">
        <f>3.75*C65/150</f>
        <v>4.5</v>
      </c>
      <c r="F65" s="25">
        <f>6.75*C65/150</f>
        <v>8.1</v>
      </c>
      <c r="G65" s="25">
        <f>79.5*C65/150</f>
        <v>95.4</v>
      </c>
      <c r="H65" s="85" t="s">
        <v>188</v>
      </c>
    </row>
    <row r="66" spans="1:8" ht="15.75">
      <c r="A66" s="165"/>
      <c r="B66" s="48" t="s">
        <v>12</v>
      </c>
      <c r="C66" s="23">
        <v>25</v>
      </c>
      <c r="D66" s="20">
        <f>1.32*C66/20</f>
        <v>1.65</v>
      </c>
      <c r="E66" s="20">
        <f>0.22*C66/20</f>
        <v>0.275</v>
      </c>
      <c r="F66" s="20">
        <f>8.2*C66/20</f>
        <v>10.249999999999998</v>
      </c>
      <c r="G66" s="25">
        <f>40*C66/20</f>
        <v>50</v>
      </c>
      <c r="H66" s="70" t="s">
        <v>44</v>
      </c>
    </row>
    <row r="67" spans="1:8" ht="15.75">
      <c r="A67" s="174" t="s">
        <v>70</v>
      </c>
      <c r="B67" s="174"/>
      <c r="C67" s="19">
        <v>340</v>
      </c>
      <c r="D67" s="31">
        <f>SUM(D64:D66)</f>
        <v>27.002179999999996</v>
      </c>
      <c r="E67" s="31">
        <f>SUM(E64:E66)</f>
        <v>13.691239999999999</v>
      </c>
      <c r="F67" s="31">
        <f>SUM(F64:F66)</f>
        <v>60.46626</v>
      </c>
      <c r="G67" s="31">
        <f>SUM(G64:G66)</f>
        <v>468.4</v>
      </c>
      <c r="H67" s="70"/>
    </row>
    <row r="68" spans="1:8" ht="15.75">
      <c r="A68" s="81" t="s">
        <v>15</v>
      </c>
      <c r="B68" s="54"/>
      <c r="C68" s="82"/>
      <c r="D68" s="83">
        <f>D54+D55+D63+D67</f>
        <v>67.58298933333333</v>
      </c>
      <c r="E68" s="83">
        <f>E54+E55+E63+E67</f>
        <v>58.59894666666666</v>
      </c>
      <c r="F68" s="83">
        <f>F54+F55+F63+F67</f>
        <v>192.46662533333333</v>
      </c>
      <c r="G68" s="83">
        <f>G54+G55+G63+G67</f>
        <v>1556.22784</v>
      </c>
      <c r="H68" s="84"/>
    </row>
    <row r="69" spans="1:8" ht="15.75">
      <c r="A69" s="168" t="s">
        <v>27</v>
      </c>
      <c r="B69" s="168"/>
      <c r="C69" s="168"/>
      <c r="D69" s="168"/>
      <c r="E69" s="168"/>
      <c r="F69" s="168"/>
      <c r="G69" s="168"/>
      <c r="H69" s="168"/>
    </row>
    <row r="70" spans="1:8" ht="25.5">
      <c r="A70" s="166" t="s">
        <v>9</v>
      </c>
      <c r="B70" s="16" t="s">
        <v>139</v>
      </c>
      <c r="C70" s="23">
        <v>160</v>
      </c>
      <c r="D70" s="20">
        <f>5.31476*C70/150</f>
        <v>5.669077333333333</v>
      </c>
      <c r="E70" s="20">
        <f>2.0152*C70/140</f>
        <v>2.3030857142857144</v>
      </c>
      <c r="F70" s="20">
        <f>24.51176*C70/140</f>
        <v>28.01344</v>
      </c>
      <c r="G70" s="25">
        <f>107.2*C70/140</f>
        <v>122.51428571428572</v>
      </c>
      <c r="H70" s="130" t="s">
        <v>64</v>
      </c>
    </row>
    <row r="71" spans="1:8" ht="15.75">
      <c r="A71" s="166"/>
      <c r="B71" s="48" t="s">
        <v>96</v>
      </c>
      <c r="C71" s="69" t="s">
        <v>170</v>
      </c>
      <c r="D71" s="20">
        <v>2.33</v>
      </c>
      <c r="E71" s="20">
        <v>8.12</v>
      </c>
      <c r="F71" s="20">
        <v>15.55</v>
      </c>
      <c r="G71" s="5">
        <v>144.7</v>
      </c>
      <c r="H71" s="35" t="s">
        <v>49</v>
      </c>
    </row>
    <row r="72" spans="1:8" ht="15.75">
      <c r="A72" s="166"/>
      <c r="B72" s="48" t="s">
        <v>140</v>
      </c>
      <c r="C72" s="21" t="s">
        <v>67</v>
      </c>
      <c r="D72" s="27">
        <f>1.62432*C72/150</f>
        <v>2.1657599999999997</v>
      </c>
      <c r="E72" s="27">
        <f>1.66144*C72/150</f>
        <v>2.2152533333333335</v>
      </c>
      <c r="F72" s="27">
        <f>9.03266*C72/150</f>
        <v>12.043546666666666</v>
      </c>
      <c r="G72" s="27">
        <f>57.58088*C72/150</f>
        <v>76.77450666666667</v>
      </c>
      <c r="H72" s="131" t="s">
        <v>180</v>
      </c>
    </row>
    <row r="73" spans="1:8" ht="15.75">
      <c r="A73" s="169" t="s">
        <v>10</v>
      </c>
      <c r="B73" s="169"/>
      <c r="C73" s="18">
        <v>410</v>
      </c>
      <c r="D73" s="22">
        <f>SUM(D70:D72)</f>
        <v>10.164837333333333</v>
      </c>
      <c r="E73" s="22">
        <f>SUM(E70:E72)</f>
        <v>12.638339047619047</v>
      </c>
      <c r="F73" s="22">
        <f>SUM(F70:F72)</f>
        <v>55.606986666666664</v>
      </c>
      <c r="G73" s="22">
        <f>SUM(G70:G72)</f>
        <v>343.9887923809524</v>
      </c>
      <c r="H73" s="70"/>
    </row>
    <row r="74" spans="1:8" ht="15.75">
      <c r="A74" s="79" t="s">
        <v>22</v>
      </c>
      <c r="B74" s="49" t="s">
        <v>34</v>
      </c>
      <c r="C74" s="18">
        <v>100</v>
      </c>
      <c r="D74" s="36">
        <v>1.1</v>
      </c>
      <c r="E74" s="36">
        <v>0.3</v>
      </c>
      <c r="F74" s="36">
        <v>8.9</v>
      </c>
      <c r="G74" s="36">
        <v>44</v>
      </c>
      <c r="H74" s="70" t="s">
        <v>40</v>
      </c>
    </row>
    <row r="75" spans="1:8" ht="15.75">
      <c r="A75" s="175" t="s">
        <v>11</v>
      </c>
      <c r="B75" s="50" t="s">
        <v>141</v>
      </c>
      <c r="C75" s="23">
        <v>50</v>
      </c>
      <c r="D75" s="20">
        <v>0.45</v>
      </c>
      <c r="E75" s="20">
        <v>2.89</v>
      </c>
      <c r="F75" s="20">
        <v>1.58</v>
      </c>
      <c r="G75" s="20">
        <v>34.12</v>
      </c>
      <c r="H75" s="157" t="s">
        <v>208</v>
      </c>
    </row>
    <row r="76" spans="1:8" ht="25.5">
      <c r="A76" s="176"/>
      <c r="B76" s="16" t="s">
        <v>142</v>
      </c>
      <c r="C76" s="9">
        <v>210</v>
      </c>
      <c r="D76" s="13">
        <v>4.95568</v>
      </c>
      <c r="E76" s="13">
        <v>4.33488</v>
      </c>
      <c r="F76" s="13">
        <v>15.13148</v>
      </c>
      <c r="G76" s="13">
        <v>119.3</v>
      </c>
      <c r="H76" s="158" t="s">
        <v>214</v>
      </c>
    </row>
    <row r="77" spans="1:8" ht="25.5">
      <c r="A77" s="176"/>
      <c r="B77" s="48" t="s">
        <v>143</v>
      </c>
      <c r="C77" s="35">
        <v>70</v>
      </c>
      <c r="D77" s="25">
        <f>15.67*C77/160</f>
        <v>6.855625000000001</v>
      </c>
      <c r="E77" s="25">
        <f>14.94*C77/160</f>
        <v>6.53625</v>
      </c>
      <c r="F77" s="25">
        <f>13.48*C77/160</f>
        <v>5.8975</v>
      </c>
      <c r="G77" s="25">
        <f>251.05*C77/160</f>
        <v>109.834375</v>
      </c>
      <c r="H77" s="70" t="s">
        <v>193</v>
      </c>
    </row>
    <row r="78" spans="1:8" ht="25.5">
      <c r="A78" s="176"/>
      <c r="B78" s="16" t="s">
        <v>109</v>
      </c>
      <c r="C78" s="35">
        <v>130</v>
      </c>
      <c r="D78" s="25">
        <f>2.45*C78/120</f>
        <v>2.654166666666667</v>
      </c>
      <c r="E78" s="25">
        <f>3.43*C78/120</f>
        <v>3.7158333333333338</v>
      </c>
      <c r="F78" s="25">
        <f>16.05*C78/120</f>
        <v>17.3875</v>
      </c>
      <c r="G78" s="25">
        <v>95</v>
      </c>
      <c r="H78" s="70" t="s">
        <v>42</v>
      </c>
    </row>
    <row r="79" spans="1:8" ht="15.75">
      <c r="A79" s="176"/>
      <c r="B79" s="48" t="s">
        <v>144</v>
      </c>
      <c r="C79" s="23">
        <v>180</v>
      </c>
      <c r="D79" s="20">
        <f>0.48*C79/150</f>
        <v>0.576</v>
      </c>
      <c r="E79" s="20">
        <f>0.2*C79/150</f>
        <v>0.24</v>
      </c>
      <c r="F79" s="20">
        <f>12.95*C79/150</f>
        <v>15.54</v>
      </c>
      <c r="G79" s="20">
        <f>55.52*C79/150</f>
        <v>66.62400000000001</v>
      </c>
      <c r="H79" s="85" t="s">
        <v>54</v>
      </c>
    </row>
    <row r="80" spans="1:8" ht="15.75">
      <c r="A80" s="176"/>
      <c r="B80" s="48" t="s">
        <v>12</v>
      </c>
      <c r="C80" s="23">
        <v>30</v>
      </c>
      <c r="D80" s="20">
        <f>1.32*C80/20</f>
        <v>1.98</v>
      </c>
      <c r="E80" s="20">
        <f>0.22*C80/20</f>
        <v>0.32999999999999996</v>
      </c>
      <c r="F80" s="20">
        <f>8.2*C80/20</f>
        <v>12.299999999999999</v>
      </c>
      <c r="G80" s="25">
        <f>40*C80/20</f>
        <v>60</v>
      </c>
      <c r="H80" s="70" t="s">
        <v>44</v>
      </c>
    </row>
    <row r="81" spans="1:8" ht="15.75">
      <c r="A81" s="177"/>
      <c r="B81" s="48" t="s">
        <v>33</v>
      </c>
      <c r="C81" s="74">
        <v>30</v>
      </c>
      <c r="D81" s="20">
        <f>2.28*C81/30</f>
        <v>2.28</v>
      </c>
      <c r="E81" s="20">
        <f>0.24*C81/30</f>
        <v>0.23999999999999996</v>
      </c>
      <c r="F81" s="20">
        <f>14.76*C81/30</f>
        <v>14.76</v>
      </c>
      <c r="G81" s="20">
        <f>70.5*C81/30</f>
        <v>70.5</v>
      </c>
      <c r="H81" s="70" t="s">
        <v>43</v>
      </c>
    </row>
    <row r="82" spans="1:8" ht="15.75">
      <c r="A82" s="178" t="s">
        <v>13</v>
      </c>
      <c r="B82" s="179"/>
      <c r="C82" s="18">
        <v>810</v>
      </c>
      <c r="D82" s="26">
        <f>SUM(D75:D81)</f>
        <v>19.751471666666667</v>
      </c>
      <c r="E82" s="26">
        <f>SUM(E75:E81)</f>
        <v>18.28696333333333</v>
      </c>
      <c r="F82" s="26">
        <f>SUM(F75:F81)</f>
        <v>82.59648000000001</v>
      </c>
      <c r="G82" s="26">
        <f>SUM(G75:G81)</f>
        <v>555.378375</v>
      </c>
      <c r="H82" s="70"/>
    </row>
    <row r="83" spans="1:8" ht="44.25" customHeight="1">
      <c r="A83" s="165" t="s">
        <v>69</v>
      </c>
      <c r="B83" s="99" t="s">
        <v>145</v>
      </c>
      <c r="C83" s="1">
        <v>160</v>
      </c>
      <c r="D83" s="3">
        <v>17.07</v>
      </c>
      <c r="E83" s="3">
        <v>12.58</v>
      </c>
      <c r="F83" s="3">
        <v>25.44</v>
      </c>
      <c r="G83" s="3">
        <v>283.36</v>
      </c>
      <c r="H83" s="98" t="s">
        <v>73</v>
      </c>
    </row>
    <row r="84" spans="1:8" ht="15.75">
      <c r="A84" s="165"/>
      <c r="B84" s="48" t="s">
        <v>100</v>
      </c>
      <c r="C84" s="23">
        <v>180</v>
      </c>
      <c r="D84" s="20">
        <f>0.23*C84/180</f>
        <v>0.22999999999999998</v>
      </c>
      <c r="E84" s="20">
        <f>0.05*C84/180</f>
        <v>0.05</v>
      </c>
      <c r="F84" s="20">
        <f>6.98*C84/180</f>
        <v>6.98</v>
      </c>
      <c r="G84" s="25">
        <f>29.34*C84/180</f>
        <v>29.34</v>
      </c>
      <c r="H84" s="85" t="s">
        <v>52</v>
      </c>
    </row>
    <row r="85" spans="1:8" ht="15.75">
      <c r="A85" s="165"/>
      <c r="B85" s="48" t="s">
        <v>33</v>
      </c>
      <c r="C85" s="74">
        <v>30</v>
      </c>
      <c r="D85" s="20">
        <f>2.28*C85/30</f>
        <v>2.28</v>
      </c>
      <c r="E85" s="20">
        <f>0.24*C85/30</f>
        <v>0.23999999999999996</v>
      </c>
      <c r="F85" s="20">
        <f>14.76*C85/30</f>
        <v>14.76</v>
      </c>
      <c r="G85" s="20">
        <f>70.5*C85/30</f>
        <v>70.5</v>
      </c>
      <c r="H85" s="70" t="s">
        <v>43</v>
      </c>
    </row>
    <row r="86" spans="1:8" ht="15.75">
      <c r="A86" s="165"/>
      <c r="B86" s="48" t="s">
        <v>12</v>
      </c>
      <c r="C86" s="23">
        <v>30</v>
      </c>
      <c r="D86" s="20">
        <f>1.32*C86/20</f>
        <v>1.98</v>
      </c>
      <c r="E86" s="20">
        <f>0.22*C86/20</f>
        <v>0.32999999999999996</v>
      </c>
      <c r="F86" s="20">
        <f>8.2*C86/20</f>
        <v>12.299999999999999</v>
      </c>
      <c r="G86" s="25">
        <f>40*C86/20</f>
        <v>60</v>
      </c>
      <c r="H86" s="70" t="s">
        <v>44</v>
      </c>
    </row>
    <row r="87" spans="1:8" ht="15.75">
      <c r="A87" s="165"/>
      <c r="B87" s="135" t="s">
        <v>70</v>
      </c>
      <c r="C87" s="153">
        <v>400</v>
      </c>
      <c r="D87" s="26">
        <f>SUM(D83:D86)</f>
        <v>21.560000000000002</v>
      </c>
      <c r="E87" s="26">
        <f>SUM(E83:E86)</f>
        <v>13.200000000000001</v>
      </c>
      <c r="F87" s="26">
        <f>SUM(F83:F86)</f>
        <v>59.48</v>
      </c>
      <c r="G87" s="26">
        <f>SUM(G83:G86)</f>
        <v>443.2</v>
      </c>
      <c r="H87" s="70"/>
    </row>
    <row r="88" spans="1:8" ht="15.75">
      <c r="A88" s="136" t="s">
        <v>16</v>
      </c>
      <c r="B88" s="180"/>
      <c r="C88" s="181"/>
      <c r="D88" s="34">
        <f>D73+D74+D82+D87</f>
        <v>52.576309</v>
      </c>
      <c r="E88" s="34">
        <f>E73+E74+E82+E87</f>
        <v>44.42530238095238</v>
      </c>
      <c r="F88" s="34">
        <f>F73+F74+F82+F87</f>
        <v>206.58346666666668</v>
      </c>
      <c r="G88" s="34">
        <f>G73+G74+G82+G87</f>
        <v>1386.5671673809525</v>
      </c>
      <c r="H88" s="87"/>
    </row>
    <row r="89" spans="1:8" ht="18.75" customHeight="1">
      <c r="A89" s="137" t="s">
        <v>28</v>
      </c>
      <c r="B89" s="138"/>
      <c r="C89" s="108"/>
      <c r="D89" s="108"/>
      <c r="E89" s="108"/>
      <c r="F89" s="108"/>
      <c r="G89" s="108"/>
      <c r="H89" s="108"/>
    </row>
    <row r="90" spans="1:8" ht="31.5" customHeight="1">
      <c r="A90" s="175" t="s">
        <v>9</v>
      </c>
      <c r="B90" s="16" t="s">
        <v>146</v>
      </c>
      <c r="C90" s="23">
        <v>160</v>
      </c>
      <c r="D90" s="20">
        <f>4.8645*C90/150</f>
        <v>5.1888</v>
      </c>
      <c r="E90" s="20">
        <f>2.4552*C90/150</f>
        <v>2.61888</v>
      </c>
      <c r="F90" s="20">
        <f>23.78649*C90/150</f>
        <v>25.372256</v>
      </c>
      <c r="G90" s="25">
        <f>109.3*C90/140</f>
        <v>124.91428571428571</v>
      </c>
      <c r="H90" s="129" t="s">
        <v>80</v>
      </c>
    </row>
    <row r="91" spans="1:8" ht="15.75">
      <c r="A91" s="176"/>
      <c r="B91" s="48" t="s">
        <v>96</v>
      </c>
      <c r="C91" s="69" t="s">
        <v>170</v>
      </c>
      <c r="D91" s="20">
        <v>2.33</v>
      </c>
      <c r="E91" s="20">
        <v>8.12</v>
      </c>
      <c r="F91" s="20">
        <v>15.55</v>
      </c>
      <c r="G91" s="5">
        <v>144.7</v>
      </c>
      <c r="H91" s="35" t="s">
        <v>49</v>
      </c>
    </row>
    <row r="92" spans="1:8" ht="33" customHeight="1">
      <c r="A92" s="176"/>
      <c r="B92" s="48" t="s">
        <v>97</v>
      </c>
      <c r="C92" s="21" t="s">
        <v>67</v>
      </c>
      <c r="D92" s="27">
        <f>1.62432*C92/150</f>
        <v>2.1657599999999997</v>
      </c>
      <c r="E92" s="27">
        <f>1.66144*C92/150</f>
        <v>2.2152533333333335</v>
      </c>
      <c r="F92" s="27">
        <f>9.03266*C92/150</f>
        <v>12.043546666666666</v>
      </c>
      <c r="G92" s="27">
        <f>57.58088*C92/150</f>
        <v>76.77450666666667</v>
      </c>
      <c r="H92" s="10" t="s">
        <v>77</v>
      </c>
    </row>
    <row r="93" spans="1:8" ht="15.75">
      <c r="A93" s="177"/>
      <c r="B93" s="109" t="s">
        <v>10</v>
      </c>
      <c r="C93" s="71" t="s">
        <v>92</v>
      </c>
      <c r="D93" s="22">
        <f>SUM(D90:D92)</f>
        <v>9.68456</v>
      </c>
      <c r="E93" s="22">
        <f>SUM(E90:E92)</f>
        <v>12.954133333333331</v>
      </c>
      <c r="F93" s="22">
        <f>SUM(F90:F92)</f>
        <v>52.96580266666667</v>
      </c>
      <c r="G93" s="22">
        <f>SUM(G90:G92)</f>
        <v>346.3887923809524</v>
      </c>
      <c r="H93" s="70"/>
    </row>
    <row r="94" spans="1:8" ht="15.75">
      <c r="A94" s="182" t="s">
        <v>169</v>
      </c>
      <c r="B94" s="110"/>
      <c r="C94" s="37"/>
      <c r="D94" s="103"/>
      <c r="E94" s="103"/>
      <c r="F94" s="103"/>
      <c r="G94" s="103"/>
      <c r="H94" s="114"/>
    </row>
    <row r="95" spans="1:8" ht="15.75">
      <c r="A95" s="183"/>
      <c r="B95" s="16" t="s">
        <v>35</v>
      </c>
      <c r="C95" s="37">
        <v>180</v>
      </c>
      <c r="D95" s="103">
        <f>4.05*C95/150</f>
        <v>4.86</v>
      </c>
      <c r="E95" s="103">
        <f>4.5*C95/150</f>
        <v>5.4</v>
      </c>
      <c r="F95" s="103">
        <f>6.6*C95/150</f>
        <v>7.92</v>
      </c>
      <c r="G95" s="103">
        <f>81*C95/150</f>
        <v>97.2</v>
      </c>
      <c r="H95" s="85" t="s">
        <v>46</v>
      </c>
    </row>
    <row r="96" spans="1:8" ht="15.75">
      <c r="A96" s="175" t="s">
        <v>11</v>
      </c>
      <c r="B96" s="16"/>
      <c r="C96" s="37"/>
      <c r="D96" s="103"/>
      <c r="E96" s="103"/>
      <c r="F96" s="103"/>
      <c r="G96" s="103"/>
      <c r="H96" s="114"/>
    </row>
    <row r="97" spans="1:8" ht="15.75">
      <c r="A97" s="176"/>
      <c r="B97" s="16" t="s">
        <v>186</v>
      </c>
      <c r="C97" s="9">
        <v>50</v>
      </c>
      <c r="D97" s="104">
        <f>0.4*C97/50</f>
        <v>0.4</v>
      </c>
      <c r="E97" s="104">
        <f>0.05*C97/50</f>
        <v>0.05</v>
      </c>
      <c r="F97" s="104">
        <f>0.85*C97/50</f>
        <v>0.85</v>
      </c>
      <c r="G97" s="105">
        <f>6.5*C97/50</f>
        <v>6.5</v>
      </c>
      <c r="H97" s="131" t="s">
        <v>187</v>
      </c>
    </row>
    <row r="98" spans="1:8" ht="51" customHeight="1">
      <c r="A98" s="176"/>
      <c r="B98" s="63" t="s">
        <v>113</v>
      </c>
      <c r="C98" s="23">
        <v>220</v>
      </c>
      <c r="D98" s="29">
        <v>4.55</v>
      </c>
      <c r="E98" s="29">
        <v>7.21</v>
      </c>
      <c r="F98" s="29">
        <v>10.33</v>
      </c>
      <c r="G98" s="29">
        <v>124.44</v>
      </c>
      <c r="H98" s="35" t="s">
        <v>41</v>
      </c>
    </row>
    <row r="99" spans="1:8" ht="39" customHeight="1">
      <c r="A99" s="176"/>
      <c r="B99" s="55" t="s">
        <v>147</v>
      </c>
      <c r="C99" s="6">
        <v>70</v>
      </c>
      <c r="D99" s="27">
        <f>7.63844*C99/50</f>
        <v>10.693816</v>
      </c>
      <c r="E99" s="27">
        <f>7.97192*C99/50</f>
        <v>11.160688</v>
      </c>
      <c r="F99" s="27">
        <f>7.10073*C99/50</f>
        <v>9.941022</v>
      </c>
      <c r="G99" s="27">
        <f>130.70396*C99/50</f>
        <v>182.985544</v>
      </c>
      <c r="H99" s="131" t="s">
        <v>83</v>
      </c>
    </row>
    <row r="100" spans="1:8" ht="25.5">
      <c r="A100" s="176"/>
      <c r="B100" s="16" t="s">
        <v>148</v>
      </c>
      <c r="C100" s="74">
        <v>130</v>
      </c>
      <c r="D100" s="5">
        <v>4.73</v>
      </c>
      <c r="E100" s="5">
        <v>2.75</v>
      </c>
      <c r="F100" s="5">
        <v>29.23</v>
      </c>
      <c r="G100" s="29">
        <v>160.63</v>
      </c>
      <c r="H100" s="120" t="s">
        <v>57</v>
      </c>
    </row>
    <row r="101" spans="1:8" ht="25.5">
      <c r="A101" s="176"/>
      <c r="B101" s="51" t="s">
        <v>110</v>
      </c>
      <c r="C101" s="23">
        <v>180</v>
      </c>
      <c r="D101" s="20">
        <f>0.41*C101/150</f>
        <v>0.492</v>
      </c>
      <c r="E101" s="20">
        <f>0.06*C101/150</f>
        <v>0.072</v>
      </c>
      <c r="F101" s="20">
        <f>17.01*C101/150</f>
        <v>20.412000000000003</v>
      </c>
      <c r="G101" s="20">
        <f>70.15*C101/150</f>
        <v>84.18</v>
      </c>
      <c r="H101" s="70" t="s">
        <v>45</v>
      </c>
    </row>
    <row r="102" spans="1:8" ht="15.75">
      <c r="A102" s="176"/>
      <c r="B102" s="48" t="s">
        <v>12</v>
      </c>
      <c r="C102" s="23">
        <v>25</v>
      </c>
      <c r="D102" s="20">
        <f>1.32*C102/20</f>
        <v>1.65</v>
      </c>
      <c r="E102" s="20">
        <f>0.22*C102/20</f>
        <v>0.275</v>
      </c>
      <c r="F102" s="20">
        <f>8.2*C102/20</f>
        <v>10.249999999999998</v>
      </c>
      <c r="G102" s="25">
        <f>40*C102/20</f>
        <v>50</v>
      </c>
      <c r="H102" s="70" t="s">
        <v>44</v>
      </c>
    </row>
    <row r="103" spans="1:8" ht="15.75">
      <c r="A103" s="177"/>
      <c r="B103" s="48" t="s">
        <v>33</v>
      </c>
      <c r="C103" s="74">
        <v>25</v>
      </c>
      <c r="D103" s="20">
        <f>2.28*C103/30</f>
        <v>1.8999999999999997</v>
      </c>
      <c r="E103" s="20">
        <f>0.24*C103/30</f>
        <v>0.2</v>
      </c>
      <c r="F103" s="20">
        <f>14.76*C103/30</f>
        <v>12.3</v>
      </c>
      <c r="G103" s="20">
        <f>70.5*C103/30</f>
        <v>58.75</v>
      </c>
      <c r="H103" s="70" t="s">
        <v>43</v>
      </c>
    </row>
    <row r="104" spans="1:8" ht="15.75">
      <c r="A104" s="184" t="s">
        <v>17</v>
      </c>
      <c r="B104" s="185"/>
      <c r="C104" s="18">
        <v>700</v>
      </c>
      <c r="D104" s="26">
        <f>SUM(D97:D103)</f>
        <v>24.415816</v>
      </c>
      <c r="E104" s="26">
        <f>SUM(E97:E103)</f>
        <v>21.717687999999995</v>
      </c>
      <c r="F104" s="26">
        <f>SUM(F97:F103)</f>
        <v>93.313022</v>
      </c>
      <c r="G104" s="26">
        <f>SUM(G97:G103)</f>
        <v>667.485544</v>
      </c>
      <c r="H104" s="70"/>
    </row>
    <row r="105" spans="1:8" ht="25.5">
      <c r="A105" s="186" t="s">
        <v>69</v>
      </c>
      <c r="B105" s="63" t="s">
        <v>149</v>
      </c>
      <c r="C105" s="78" t="s">
        <v>150</v>
      </c>
      <c r="D105" s="5">
        <v>23.903654399999997</v>
      </c>
      <c r="E105" s="5">
        <v>8.409667199999998</v>
      </c>
      <c r="F105" s="5">
        <v>37.4664576</v>
      </c>
      <c r="G105" s="25">
        <v>317.6</v>
      </c>
      <c r="H105" s="132" t="s">
        <v>116</v>
      </c>
    </row>
    <row r="106" spans="1:8" ht="39" customHeight="1">
      <c r="A106" s="187"/>
      <c r="B106" s="52" t="s">
        <v>178</v>
      </c>
      <c r="C106" s="6">
        <v>130</v>
      </c>
      <c r="D106" s="27">
        <f>14.2*C106/160</f>
        <v>11.5375</v>
      </c>
      <c r="E106" s="27">
        <f>11.49*C106/160</f>
        <v>9.335625</v>
      </c>
      <c r="F106" s="27">
        <f>13.81*C106/160</f>
        <v>11.220625</v>
      </c>
      <c r="G106" s="27">
        <f>215.49*C106/160</f>
        <v>175.085625</v>
      </c>
      <c r="H106" s="132" t="s">
        <v>58</v>
      </c>
    </row>
    <row r="107" spans="1:8" ht="15.75">
      <c r="A107" s="187"/>
      <c r="B107" s="48" t="s">
        <v>12</v>
      </c>
      <c r="C107" s="23">
        <v>25</v>
      </c>
      <c r="D107" s="20">
        <f>1.32*C107/20</f>
        <v>1.65</v>
      </c>
      <c r="E107" s="20">
        <f>0.22*C107/20</f>
        <v>0.275</v>
      </c>
      <c r="F107" s="20">
        <f>8.2*C107/20</f>
        <v>10.249999999999998</v>
      </c>
      <c r="G107" s="25">
        <f>40*C107/20</f>
        <v>50</v>
      </c>
      <c r="H107" s="70" t="s">
        <v>44</v>
      </c>
    </row>
    <row r="108" spans="1:8" ht="15.75" customHeight="1">
      <c r="A108" s="187"/>
      <c r="B108" s="49" t="s">
        <v>107</v>
      </c>
      <c r="C108" s="78" t="s">
        <v>37</v>
      </c>
      <c r="D108" s="5">
        <f>0.0376*C108/180</f>
        <v>0.0376</v>
      </c>
      <c r="E108" s="5">
        <f>0.008976*C108/180</f>
        <v>0.008976</v>
      </c>
      <c r="F108" s="5">
        <f>6.81863*C108/180</f>
        <v>6.81863</v>
      </c>
      <c r="G108" s="25">
        <f>29.34*C108/180</f>
        <v>29.34</v>
      </c>
      <c r="H108" s="70" t="s">
        <v>39</v>
      </c>
    </row>
    <row r="109" spans="1:8" ht="15.75">
      <c r="A109" s="187"/>
      <c r="B109" s="107"/>
      <c r="C109" s="30" t="s">
        <v>202</v>
      </c>
      <c r="D109" s="31">
        <f>SUM(D105:D108)</f>
        <v>37.12875439999999</v>
      </c>
      <c r="E109" s="31">
        <f>SUM(E105:E108)</f>
        <v>18.029268199999997</v>
      </c>
      <c r="F109" s="31">
        <f>SUM(F105:F108)</f>
        <v>65.7557126</v>
      </c>
      <c r="G109" s="31">
        <f>SUM(G105:G108)</f>
        <v>572.0256250000001</v>
      </c>
      <c r="H109" s="73"/>
    </row>
    <row r="110" spans="1:8" ht="15.75">
      <c r="A110" s="188"/>
      <c r="B110" s="113" t="s">
        <v>203</v>
      </c>
      <c r="C110" s="33"/>
      <c r="D110" s="34">
        <f>D93+D96+D104+D109</f>
        <v>71.22913039999999</v>
      </c>
      <c r="E110" s="34">
        <f>E93+E96+E104+E109</f>
        <v>52.701089533333324</v>
      </c>
      <c r="F110" s="34">
        <f>F93+F96+F104+F109</f>
        <v>212.0345372666667</v>
      </c>
      <c r="G110" s="34">
        <f>G93+G96+G104+G109</f>
        <v>1585.8999613809524</v>
      </c>
      <c r="H110" s="80"/>
    </row>
    <row r="111" spans="1:8" ht="15.75">
      <c r="A111" s="189" t="s">
        <v>204</v>
      </c>
      <c r="B111" s="190"/>
      <c r="C111" s="112"/>
      <c r="D111" s="88">
        <f>(D110+D88+D68+D49+D30)/5</f>
        <v>61.02641904966699</v>
      </c>
      <c r="E111" s="88">
        <f>(E110+E88+E68+E49+E30)/5</f>
        <v>54.27947033189332</v>
      </c>
      <c r="F111" s="88">
        <f>(F110+F88+F68+F49+F30)/5</f>
        <v>214.39534011617465</v>
      </c>
      <c r="G111" s="88">
        <f>(G110+G88+G68+G49+G30)/5</f>
        <v>1547.1026166280712</v>
      </c>
      <c r="H111" s="89"/>
    </row>
    <row r="112" spans="1:8" ht="15.75">
      <c r="A112" s="139"/>
      <c r="B112" s="110"/>
      <c r="C112" s="110"/>
      <c r="D112" s="110"/>
      <c r="E112" s="110"/>
      <c r="F112" s="110"/>
      <c r="G112" s="110"/>
      <c r="H112" s="110"/>
    </row>
    <row r="113" spans="1:8" ht="15.75">
      <c r="A113" s="191" t="s">
        <v>209</v>
      </c>
      <c r="B113" s="192"/>
      <c r="C113" s="108"/>
      <c r="D113" s="108"/>
      <c r="E113" s="108"/>
      <c r="F113" s="108"/>
      <c r="G113" s="108"/>
      <c r="H113" s="108"/>
    </row>
    <row r="114" spans="1:8" ht="25.5">
      <c r="A114" s="175" t="s">
        <v>9</v>
      </c>
      <c r="B114" s="16" t="s">
        <v>139</v>
      </c>
      <c r="C114" s="35">
        <v>160</v>
      </c>
      <c r="D114" s="25">
        <f>3.720426*C114/130</f>
        <v>4.578985846153846</v>
      </c>
      <c r="E114" s="25">
        <f>2.028048*C114/130</f>
        <v>2.496059076923077</v>
      </c>
      <c r="F114" s="25">
        <f>17.960488*C114/130</f>
        <v>22.105216000000002</v>
      </c>
      <c r="G114" s="25">
        <f>111.9*C114/140</f>
        <v>127.88571428571429</v>
      </c>
      <c r="H114" s="129" t="s">
        <v>64</v>
      </c>
    </row>
    <row r="115" spans="1:8" ht="27" customHeight="1">
      <c r="A115" s="176"/>
      <c r="B115" s="48" t="s">
        <v>96</v>
      </c>
      <c r="C115" s="69" t="s">
        <v>170</v>
      </c>
      <c r="D115" s="20">
        <v>2.33</v>
      </c>
      <c r="E115" s="20">
        <v>8.12</v>
      </c>
      <c r="F115" s="20">
        <v>15.55</v>
      </c>
      <c r="G115" s="5">
        <v>144.7</v>
      </c>
      <c r="H115" s="35" t="s">
        <v>49</v>
      </c>
    </row>
    <row r="116" spans="1:8" ht="25.5" customHeight="1">
      <c r="A116" s="176"/>
      <c r="B116" s="16" t="s">
        <v>105</v>
      </c>
      <c r="C116" s="23">
        <v>200</v>
      </c>
      <c r="D116" s="25">
        <f>2.46*C116/180</f>
        <v>2.7333333333333334</v>
      </c>
      <c r="E116" s="25">
        <f>1.86*C116/180</f>
        <v>2.066666666666667</v>
      </c>
      <c r="F116" s="25">
        <f>11.94*C116/180</f>
        <v>13.266666666666667</v>
      </c>
      <c r="G116" s="25">
        <f>64*C116/180</f>
        <v>71.11111111111111</v>
      </c>
      <c r="H116" s="73" t="s">
        <v>59</v>
      </c>
    </row>
    <row r="117" spans="1:8" ht="15.75">
      <c r="A117" s="177"/>
      <c r="B117" s="110" t="s">
        <v>10</v>
      </c>
      <c r="C117" s="18">
        <v>410</v>
      </c>
      <c r="D117" s="26">
        <f>SUM(D114:D116)</f>
        <v>9.64231917948718</v>
      </c>
      <c r="E117" s="26">
        <f>SUM(E114:E116)</f>
        <v>12.682725743589742</v>
      </c>
      <c r="F117" s="26">
        <f>SUM(F114:F116)</f>
        <v>50.92188266666667</v>
      </c>
      <c r="G117" s="26">
        <f>SUM(G114:G116)</f>
        <v>343.6968253968254</v>
      </c>
      <c r="H117" s="70"/>
    </row>
    <row r="118" spans="1:8" ht="15.75">
      <c r="A118" s="193" t="s">
        <v>22</v>
      </c>
      <c r="B118" s="110"/>
      <c r="C118" s="106"/>
      <c r="D118" s="36"/>
      <c r="E118" s="36"/>
      <c r="F118" s="36"/>
      <c r="G118" s="36"/>
      <c r="H118" s="70"/>
    </row>
    <row r="119" spans="1:8" ht="15.75">
      <c r="A119" s="194"/>
      <c r="B119" s="49" t="s">
        <v>34</v>
      </c>
      <c r="C119" s="18">
        <v>180</v>
      </c>
      <c r="D119" s="36">
        <f>0.75*C119/150</f>
        <v>0.9</v>
      </c>
      <c r="E119" s="36">
        <f>0.15*C119/150</f>
        <v>0.18</v>
      </c>
      <c r="F119" s="36">
        <f>15.15*C119/150</f>
        <v>18.18</v>
      </c>
      <c r="G119" s="36">
        <f>69*C119/150</f>
        <v>82.8</v>
      </c>
      <c r="H119" s="70" t="s">
        <v>40</v>
      </c>
    </row>
    <row r="120" spans="1:8" ht="15.75">
      <c r="A120" s="175" t="s">
        <v>11</v>
      </c>
      <c r="B120" s="118" t="s">
        <v>166</v>
      </c>
      <c r="C120" s="9"/>
      <c r="D120" s="104"/>
      <c r="E120" s="104"/>
      <c r="F120" s="104"/>
      <c r="G120" s="105"/>
      <c r="H120" s="116"/>
    </row>
    <row r="121" spans="1:8" ht="15.75">
      <c r="A121" s="176"/>
      <c r="B121" s="63" t="s">
        <v>141</v>
      </c>
      <c r="C121" s="9">
        <v>50</v>
      </c>
      <c r="D121" s="104">
        <f>0.246525*C121/30</f>
        <v>0.410875</v>
      </c>
      <c r="E121" s="104">
        <f>1.473168*C121/30</f>
        <v>2.45528</v>
      </c>
      <c r="F121" s="104">
        <f>2.175537*C121/30</f>
        <v>3.625895</v>
      </c>
      <c r="G121" s="105">
        <f>22.94676*C121/30</f>
        <v>38.2446</v>
      </c>
      <c r="H121" s="131" t="s">
        <v>207</v>
      </c>
    </row>
    <row r="122" spans="1:8" ht="38.25">
      <c r="A122" s="176"/>
      <c r="B122" s="16" t="s">
        <v>88</v>
      </c>
      <c r="C122" s="6">
        <v>210</v>
      </c>
      <c r="D122" s="27">
        <v>3.770688</v>
      </c>
      <c r="E122" s="27">
        <v>6.126298666666667</v>
      </c>
      <c r="F122" s="27">
        <v>8.242173333333334</v>
      </c>
      <c r="G122" s="27">
        <v>103.2</v>
      </c>
      <c r="H122" s="131" t="s">
        <v>176</v>
      </c>
    </row>
    <row r="123" spans="1:8" ht="26.25">
      <c r="A123" s="176"/>
      <c r="B123" s="55" t="s">
        <v>198</v>
      </c>
      <c r="C123" s="6">
        <v>70</v>
      </c>
      <c r="D123" s="27">
        <f>7.63844*C123/50</f>
        <v>10.693816</v>
      </c>
      <c r="E123" s="27">
        <f>7.97192*C123/50</f>
        <v>11.160688</v>
      </c>
      <c r="F123" s="27">
        <f>7.10073*C123/50</f>
        <v>9.941022</v>
      </c>
      <c r="G123" s="27">
        <f>130.70396*C123/50</f>
        <v>182.985544</v>
      </c>
      <c r="H123" s="131" t="s">
        <v>191</v>
      </c>
    </row>
    <row r="124" spans="1:8" ht="15.75">
      <c r="A124" s="176"/>
      <c r="B124" s="16" t="s">
        <v>179</v>
      </c>
      <c r="C124" s="35">
        <v>130</v>
      </c>
      <c r="D124" s="25">
        <f>2.45*C124/120</f>
        <v>2.654166666666667</v>
      </c>
      <c r="E124" s="25">
        <f>3.43*C124/120</f>
        <v>3.7158333333333338</v>
      </c>
      <c r="F124" s="25">
        <f>16.05*C124/120</f>
        <v>17.3875</v>
      </c>
      <c r="G124" s="25">
        <v>95</v>
      </c>
      <c r="H124" s="85" t="s">
        <v>57</v>
      </c>
    </row>
    <row r="125" spans="1:8" ht="15.75">
      <c r="A125" s="176"/>
      <c r="B125" s="48" t="s">
        <v>151</v>
      </c>
      <c r="C125" s="74">
        <v>180</v>
      </c>
      <c r="D125" s="20">
        <f>0.74*C125/150</f>
        <v>0.8879999999999999</v>
      </c>
      <c r="E125" s="20">
        <f>0.04*C125/150</f>
        <v>0.048</v>
      </c>
      <c r="F125" s="20">
        <f>14.23*C125/150</f>
        <v>17.076</v>
      </c>
      <c r="G125" s="20">
        <f>60.25*C125/150</f>
        <v>72.3</v>
      </c>
      <c r="H125" s="85" t="s">
        <v>62</v>
      </c>
    </row>
    <row r="126" spans="1:8" ht="15.75">
      <c r="A126" s="176"/>
      <c r="B126" s="48" t="s">
        <v>12</v>
      </c>
      <c r="C126" s="23">
        <v>30</v>
      </c>
      <c r="D126" s="20">
        <f>1.32*C126/20</f>
        <v>1.98</v>
      </c>
      <c r="E126" s="20">
        <f>0.22*C126/20</f>
        <v>0.32999999999999996</v>
      </c>
      <c r="F126" s="20">
        <f>8.2*C126/20</f>
        <v>12.299999999999999</v>
      </c>
      <c r="G126" s="25">
        <f>40*C126/20</f>
        <v>60</v>
      </c>
      <c r="H126" s="70" t="s">
        <v>44</v>
      </c>
    </row>
    <row r="127" spans="1:8" ht="15.75">
      <c r="A127" s="176"/>
      <c r="B127" s="48" t="s">
        <v>33</v>
      </c>
      <c r="C127" s="74">
        <v>30</v>
      </c>
      <c r="D127" s="20">
        <f>2.28*C127/30</f>
        <v>2.28</v>
      </c>
      <c r="E127" s="20">
        <f>0.24*C127/30</f>
        <v>0.23999999999999996</v>
      </c>
      <c r="F127" s="20">
        <f>14.76*C127/30</f>
        <v>14.76</v>
      </c>
      <c r="G127" s="20">
        <f>70.5*C127/30</f>
        <v>70.5</v>
      </c>
      <c r="H127" s="70" t="s">
        <v>43</v>
      </c>
    </row>
    <row r="128" spans="1:8" ht="15.75">
      <c r="A128" s="177"/>
      <c r="B128" s="141" t="s">
        <v>13</v>
      </c>
      <c r="C128" s="142">
        <v>700</v>
      </c>
      <c r="D128" s="143">
        <f>SUM(D121:D127)</f>
        <v>22.677545666666663</v>
      </c>
      <c r="E128" s="143">
        <f>SUM(E121:E127)</f>
        <v>24.076099999999993</v>
      </c>
      <c r="F128" s="143">
        <f>SUM(F121:F127)</f>
        <v>83.33259033333334</v>
      </c>
      <c r="G128" s="143">
        <f>SUM(G121:G127)</f>
        <v>622.2301440000001</v>
      </c>
      <c r="H128" s="144"/>
    </row>
    <row r="129" spans="1:8" ht="15.75">
      <c r="A129" s="165" t="s">
        <v>69</v>
      </c>
      <c r="B129" s="90"/>
      <c r="C129" s="35"/>
      <c r="D129" s="25"/>
      <c r="E129" s="25"/>
      <c r="F129" s="25"/>
      <c r="G129" s="25"/>
      <c r="H129" s="70"/>
    </row>
    <row r="130" spans="1:8" ht="38.25">
      <c r="A130" s="165"/>
      <c r="B130" s="16" t="s">
        <v>152</v>
      </c>
      <c r="C130" s="35">
        <v>180</v>
      </c>
      <c r="D130" s="25">
        <f>14.84119*C130/130</f>
        <v>20.549339999999997</v>
      </c>
      <c r="E130" s="25">
        <f>19.2335*C130/130</f>
        <v>26.630999999999997</v>
      </c>
      <c r="F130" s="25">
        <f>2.04461833333333*C130/130</f>
        <v>2.8310099999999956</v>
      </c>
      <c r="G130" s="25">
        <f>240.6*C130/130</f>
        <v>333.1384615384615</v>
      </c>
      <c r="H130" s="101" t="s">
        <v>188</v>
      </c>
    </row>
    <row r="131" spans="1:8" ht="15.75">
      <c r="A131" s="165"/>
      <c r="B131" s="48" t="s">
        <v>101</v>
      </c>
      <c r="C131" s="23">
        <v>200</v>
      </c>
      <c r="D131" s="20">
        <f>0.23*C131/180</f>
        <v>0.25555555555555554</v>
      </c>
      <c r="E131" s="20">
        <f>0.05*C131/180</f>
        <v>0.05555555555555555</v>
      </c>
      <c r="F131" s="20">
        <f>6.98*C131/180</f>
        <v>7.7555555555555555</v>
      </c>
      <c r="G131" s="25">
        <f>29.34*C131/180</f>
        <v>32.6</v>
      </c>
      <c r="H131" s="70" t="s">
        <v>47</v>
      </c>
    </row>
    <row r="132" spans="1:8" ht="15.75">
      <c r="A132" s="195" t="s">
        <v>70</v>
      </c>
      <c r="B132" s="196"/>
      <c r="C132" s="91">
        <v>380</v>
      </c>
      <c r="D132" s="92">
        <f>SUM(D129:D131)</f>
        <v>20.804895555555554</v>
      </c>
      <c r="E132" s="92">
        <f>SUM(E129:E131)</f>
        <v>26.686555555555554</v>
      </c>
      <c r="F132" s="92">
        <f>SUM(F129:F131)</f>
        <v>10.586565555555552</v>
      </c>
      <c r="G132" s="92">
        <f>SUM(G129:G131)</f>
        <v>365.73846153846154</v>
      </c>
      <c r="H132" s="93"/>
    </row>
    <row r="133" spans="1:8" ht="15.75">
      <c r="A133" s="197" t="s">
        <v>32</v>
      </c>
      <c r="B133" s="198"/>
      <c r="C133" s="145"/>
      <c r="D133" s="146">
        <f>D117+D119+D128+D132</f>
        <v>54.02476040170939</v>
      </c>
      <c r="E133" s="146">
        <f>E117+E119+E128+E132</f>
        <v>63.62538129914529</v>
      </c>
      <c r="F133" s="146">
        <f>F117+F119+F128+F132</f>
        <v>163.02103855555558</v>
      </c>
      <c r="G133" s="146">
        <f>G117+G119+G128+G132</f>
        <v>1414.465430935287</v>
      </c>
      <c r="H133" s="147"/>
    </row>
    <row r="134" spans="1:8" ht="15.75">
      <c r="A134" s="140"/>
      <c r="B134" s="140" t="s">
        <v>210</v>
      </c>
      <c r="C134" s="140"/>
      <c r="D134" s="140"/>
      <c r="E134" s="140"/>
      <c r="F134" s="140"/>
      <c r="G134" s="140"/>
      <c r="H134" s="140"/>
    </row>
    <row r="135" spans="1:8" ht="25.5">
      <c r="A135" s="175" t="s">
        <v>167</v>
      </c>
      <c r="B135" s="16" t="s">
        <v>172</v>
      </c>
      <c r="C135" s="38" t="s">
        <v>205</v>
      </c>
      <c r="D135" s="13">
        <v>5.05109</v>
      </c>
      <c r="E135" s="13">
        <v>3.0734</v>
      </c>
      <c r="F135" s="13">
        <v>27.133106</v>
      </c>
      <c r="G135" s="13" t="s">
        <v>93</v>
      </c>
      <c r="H135" s="128" t="s">
        <v>173</v>
      </c>
    </row>
    <row r="136" spans="1:8" ht="15.75">
      <c r="A136" s="176"/>
      <c r="B136" s="48" t="s">
        <v>96</v>
      </c>
      <c r="C136" s="69" t="s">
        <v>170</v>
      </c>
      <c r="D136" s="20">
        <v>2.33</v>
      </c>
      <c r="E136" s="20">
        <v>8.12</v>
      </c>
      <c r="F136" s="20">
        <v>15.55</v>
      </c>
      <c r="G136" s="5">
        <v>144.7</v>
      </c>
      <c r="H136" s="35" t="s">
        <v>49</v>
      </c>
    </row>
    <row r="137" spans="1:8" ht="15.75">
      <c r="A137" s="176"/>
      <c r="B137" s="16" t="s">
        <v>108</v>
      </c>
      <c r="C137" s="9">
        <v>200</v>
      </c>
      <c r="D137" s="27">
        <f>1.551*C137/200</f>
        <v>1.551</v>
      </c>
      <c r="E137" s="27">
        <f>1.58488*C137/200</f>
        <v>1.58488</v>
      </c>
      <c r="F137" s="27">
        <f>2.1749*C137/200</f>
        <v>2.1749</v>
      </c>
      <c r="G137" s="27">
        <f>29.16752*C137/200</f>
        <v>29.16752</v>
      </c>
      <c r="H137" s="10" t="s">
        <v>81</v>
      </c>
    </row>
    <row r="138" spans="1:8" ht="15.75">
      <c r="A138" s="177"/>
      <c r="B138" s="141" t="s">
        <v>10</v>
      </c>
      <c r="C138" s="142">
        <v>415</v>
      </c>
      <c r="D138" s="143">
        <f>D135+D136+D137</f>
        <v>8.93209</v>
      </c>
      <c r="E138" s="143">
        <f>E135+E136+E137</f>
        <v>12.778279999999999</v>
      </c>
      <c r="F138" s="143">
        <f>F135+F136+F137</f>
        <v>44.858006</v>
      </c>
      <c r="G138" s="143">
        <f>G135+G136+G137</f>
        <v>354.86752</v>
      </c>
      <c r="H138" s="144"/>
    </row>
    <row r="139" spans="1:8" ht="15.75">
      <c r="A139" s="193" t="s">
        <v>22</v>
      </c>
      <c r="B139" s="119"/>
      <c r="C139" s="18"/>
      <c r="D139" s="36"/>
      <c r="E139" s="36"/>
      <c r="F139" s="36"/>
      <c r="G139" s="36"/>
      <c r="H139" s="70"/>
    </row>
    <row r="140" spans="1:8" ht="15.75">
      <c r="A140" s="194"/>
      <c r="B140" s="49" t="s">
        <v>132</v>
      </c>
      <c r="C140" s="75">
        <v>180</v>
      </c>
      <c r="D140" s="26">
        <f>SUM(D138:D138)</f>
        <v>8.93209</v>
      </c>
      <c r="E140" s="26">
        <f>SUM(E138:E138)</f>
        <v>12.778279999999999</v>
      </c>
      <c r="F140" s="26">
        <f>SUM(F138:F138)</f>
        <v>44.858006</v>
      </c>
      <c r="G140" s="26">
        <f>SUM(G138:G138)</f>
        <v>354.86752</v>
      </c>
      <c r="H140" s="70" t="s">
        <v>48</v>
      </c>
    </row>
    <row r="141" spans="1:8" ht="15.75">
      <c r="A141" s="175" t="s">
        <v>11</v>
      </c>
      <c r="B141" s="119" t="s">
        <v>168</v>
      </c>
      <c r="C141" s="75"/>
      <c r="D141" s="26"/>
      <c r="E141" s="26"/>
      <c r="F141" s="26"/>
      <c r="G141" s="26"/>
      <c r="H141" s="70"/>
    </row>
    <row r="142" spans="1:8" ht="15.75">
      <c r="A142" s="176"/>
      <c r="B142" s="56" t="s">
        <v>153</v>
      </c>
      <c r="C142" s="6">
        <v>50</v>
      </c>
      <c r="D142" s="27">
        <f>0.406125*C142/30</f>
        <v>0.6768750000000001</v>
      </c>
      <c r="E142" s="27">
        <f>1.717098*C142/30</f>
        <v>2.86183</v>
      </c>
      <c r="F142" s="27">
        <f>2.28228*C142/30</f>
        <v>3.8038000000000003</v>
      </c>
      <c r="G142" s="27">
        <f>26.207502*C142/30</f>
        <v>43.67917</v>
      </c>
      <c r="H142" s="131" t="s">
        <v>184</v>
      </c>
    </row>
    <row r="143" spans="1:8" ht="51">
      <c r="A143" s="176"/>
      <c r="B143" s="63" t="s">
        <v>112</v>
      </c>
      <c r="C143" s="96">
        <v>190</v>
      </c>
      <c r="D143" s="2">
        <v>3.648313</v>
      </c>
      <c r="E143" s="2">
        <v>6.668752</v>
      </c>
      <c r="F143" s="2">
        <v>6.413774999999999</v>
      </c>
      <c r="G143" s="2">
        <v>100</v>
      </c>
      <c r="H143" s="95" t="s">
        <v>78</v>
      </c>
    </row>
    <row r="144" spans="1:8" ht="25.5">
      <c r="A144" s="176"/>
      <c r="B144" s="16" t="s">
        <v>154</v>
      </c>
      <c r="C144" s="35">
        <v>70</v>
      </c>
      <c r="D144" s="25">
        <v>9.23</v>
      </c>
      <c r="E144" s="25">
        <v>6.23</v>
      </c>
      <c r="F144" s="25">
        <v>6.62</v>
      </c>
      <c r="G144" s="25">
        <v>119.43</v>
      </c>
      <c r="H144" s="120" t="s">
        <v>122</v>
      </c>
    </row>
    <row r="145" spans="1:8" ht="25.5">
      <c r="A145" s="176"/>
      <c r="B145" s="16" t="s">
        <v>155</v>
      </c>
      <c r="C145" s="35">
        <v>130</v>
      </c>
      <c r="D145" s="25">
        <f>3.1683355*C145/110</f>
        <v>3.7443965</v>
      </c>
      <c r="E145" s="25">
        <f>2.9911552*C145/110</f>
        <v>3.5350016</v>
      </c>
      <c r="F145" s="25">
        <f>21.6758542*C145/110</f>
        <v>25.616918599999998</v>
      </c>
      <c r="G145" s="25">
        <f>126.3*C145/110</f>
        <v>149.26363636363635</v>
      </c>
      <c r="H145" s="85" t="s">
        <v>61</v>
      </c>
    </row>
    <row r="146" spans="1:8" ht="25.5">
      <c r="A146" s="176"/>
      <c r="B146" s="51" t="s">
        <v>110</v>
      </c>
      <c r="C146" s="23">
        <v>180</v>
      </c>
      <c r="D146" s="20">
        <f>0.41*C146/150</f>
        <v>0.492</v>
      </c>
      <c r="E146" s="20">
        <f>0.06*C146/150</f>
        <v>0.072</v>
      </c>
      <c r="F146" s="20">
        <f>17.01*C146/150</f>
        <v>20.412000000000003</v>
      </c>
      <c r="G146" s="20">
        <f>70.15*C146/150</f>
        <v>84.18</v>
      </c>
      <c r="H146" s="70" t="s">
        <v>45</v>
      </c>
    </row>
    <row r="147" spans="1:8" ht="15.75">
      <c r="A147" s="176"/>
      <c r="B147" s="48" t="s">
        <v>12</v>
      </c>
      <c r="C147" s="23">
        <v>30</v>
      </c>
      <c r="D147" s="20">
        <f>1.32*C147/20</f>
        <v>1.98</v>
      </c>
      <c r="E147" s="20">
        <f>0.22*C147/20</f>
        <v>0.32999999999999996</v>
      </c>
      <c r="F147" s="20">
        <f>8.2*C147/20</f>
        <v>12.299999999999999</v>
      </c>
      <c r="G147" s="25">
        <f>40*C147/20</f>
        <v>60</v>
      </c>
      <c r="H147" s="70" t="s">
        <v>44</v>
      </c>
    </row>
    <row r="148" spans="1:8" ht="15.75">
      <c r="A148" s="176"/>
      <c r="B148" s="48" t="s">
        <v>33</v>
      </c>
      <c r="C148" s="74">
        <v>30</v>
      </c>
      <c r="D148" s="20">
        <f>2.28*C148/30</f>
        <v>2.28</v>
      </c>
      <c r="E148" s="20">
        <f>0.24*C148/30</f>
        <v>0.23999999999999996</v>
      </c>
      <c r="F148" s="20">
        <f>14.76*C148/30</f>
        <v>14.76</v>
      </c>
      <c r="G148" s="20">
        <f>70.5*C148/30</f>
        <v>70.5</v>
      </c>
      <c r="H148" s="70" t="s">
        <v>43</v>
      </c>
    </row>
    <row r="149" spans="1:8" ht="15.75">
      <c r="A149" s="177"/>
      <c r="B149" s="141" t="s">
        <v>13</v>
      </c>
      <c r="C149" s="142">
        <v>680</v>
      </c>
      <c r="D149" s="143">
        <f>SUM(D142:D148)</f>
        <v>22.051584500000004</v>
      </c>
      <c r="E149" s="143">
        <f>SUM(E142:E148)</f>
        <v>19.937583599999996</v>
      </c>
      <c r="F149" s="143">
        <f>SUM(F142:F148)</f>
        <v>89.9264936</v>
      </c>
      <c r="G149" s="143">
        <f>SUM(G142:G148)</f>
        <v>627.0528063636364</v>
      </c>
      <c r="H149" s="144"/>
    </row>
    <row r="150" spans="1:8" ht="38.25">
      <c r="A150" s="165" t="s">
        <v>69</v>
      </c>
      <c r="B150" s="48" t="s">
        <v>156</v>
      </c>
      <c r="C150" s="35">
        <v>160</v>
      </c>
      <c r="D150" s="25">
        <f>6.13256*C150/50</f>
        <v>19.624191999999997</v>
      </c>
      <c r="E150" s="25">
        <f>4.6948*C150/50</f>
        <v>15.02336</v>
      </c>
      <c r="F150" s="25">
        <f>7.10073*C150/50</f>
        <v>22.722336</v>
      </c>
      <c r="G150" s="25">
        <f>95*C150/50</f>
        <v>304</v>
      </c>
      <c r="H150" s="85" t="s">
        <v>50</v>
      </c>
    </row>
    <row r="151" spans="1:8" ht="27" customHeight="1">
      <c r="A151" s="165"/>
      <c r="B151" s="48" t="s">
        <v>100</v>
      </c>
      <c r="C151" s="23">
        <v>180</v>
      </c>
      <c r="D151" s="20">
        <f>0.48*C151/150</f>
        <v>0.576</v>
      </c>
      <c r="E151" s="20">
        <f>0.2*C151/150</f>
        <v>0.24</v>
      </c>
      <c r="F151" s="20">
        <f>12.95*C151/150</f>
        <v>15.54</v>
      </c>
      <c r="G151" s="20">
        <f>55.52*C151/150</f>
        <v>66.62400000000001</v>
      </c>
      <c r="H151" s="70" t="s">
        <v>52</v>
      </c>
    </row>
    <row r="152" spans="1:8" ht="15.75">
      <c r="A152" s="165"/>
      <c r="B152" s="49" t="s">
        <v>199</v>
      </c>
      <c r="C152" s="9">
        <v>30</v>
      </c>
      <c r="D152" s="13">
        <f>2*30/50</f>
        <v>1.2</v>
      </c>
      <c r="E152" s="13">
        <f>13*30/50</f>
        <v>7.8</v>
      </c>
      <c r="F152" s="13">
        <f>32.5*30/50</f>
        <v>19.5</v>
      </c>
      <c r="G152" s="13">
        <f>127.5*30/25</f>
        <v>153</v>
      </c>
      <c r="H152" s="70" t="s">
        <v>71</v>
      </c>
    </row>
    <row r="153" spans="1:8" ht="15.75">
      <c r="A153" s="199" t="s">
        <v>70</v>
      </c>
      <c r="B153" s="200"/>
      <c r="C153" s="154">
        <v>370</v>
      </c>
      <c r="D153" s="31">
        <f>SUM(D150:D152)</f>
        <v>21.400191999999997</v>
      </c>
      <c r="E153" s="31">
        <f>SUM(E150:E152)</f>
        <v>23.06336</v>
      </c>
      <c r="F153" s="31">
        <f>SUM(F150:F152)</f>
        <v>57.762336</v>
      </c>
      <c r="G153" s="31">
        <f>SUM(G150:G152)</f>
        <v>523.624</v>
      </c>
      <c r="H153" s="70"/>
    </row>
    <row r="154" spans="1:8" ht="15.75">
      <c r="A154" s="201" t="s">
        <v>19</v>
      </c>
      <c r="B154" s="202"/>
      <c r="C154" s="86"/>
      <c r="D154" s="34">
        <f>D138+D140+D149+D153</f>
        <v>61.315956500000006</v>
      </c>
      <c r="E154" s="34">
        <f>E138+E140+E149+E153</f>
        <v>68.55750359999999</v>
      </c>
      <c r="F154" s="34">
        <f>F138+F140+F149+F153</f>
        <v>237.4048416</v>
      </c>
      <c r="G154" s="34">
        <f>G138+G140+G149+G153</f>
        <v>1860.4118463636364</v>
      </c>
      <c r="H154" s="80"/>
    </row>
    <row r="155" spans="1:8" ht="15.75">
      <c r="A155" s="175" t="s">
        <v>9</v>
      </c>
      <c r="B155" s="108" t="s">
        <v>211</v>
      </c>
      <c r="C155" s="108"/>
      <c r="D155" s="108"/>
      <c r="E155" s="108"/>
      <c r="F155" s="108"/>
      <c r="G155" s="108"/>
      <c r="H155" s="108"/>
    </row>
    <row r="156" spans="1:8" ht="38.25">
      <c r="A156" s="176"/>
      <c r="B156" s="16" t="s">
        <v>157</v>
      </c>
      <c r="C156" s="23">
        <v>150</v>
      </c>
      <c r="D156" s="20">
        <f>5.26635*C156/150</f>
        <v>5.26635</v>
      </c>
      <c r="E156" s="20">
        <f>2.3694*C156/150</f>
        <v>2.3694</v>
      </c>
      <c r="F156" s="20">
        <f>25.139205*C156/150</f>
        <v>25.139205</v>
      </c>
      <c r="G156" s="20">
        <f>127.61*C156/135</f>
        <v>141.7888888888889</v>
      </c>
      <c r="H156" s="127" t="s">
        <v>171</v>
      </c>
    </row>
    <row r="157" spans="1:8" ht="15.75">
      <c r="A157" s="176"/>
      <c r="B157" s="48" t="s">
        <v>96</v>
      </c>
      <c r="C157" s="69" t="s">
        <v>170</v>
      </c>
      <c r="D157" s="20">
        <v>2.33</v>
      </c>
      <c r="E157" s="20">
        <v>8.12</v>
      </c>
      <c r="F157" s="20">
        <v>15.55</v>
      </c>
      <c r="G157" s="5">
        <v>144.7</v>
      </c>
      <c r="H157" s="35" t="s">
        <v>49</v>
      </c>
    </row>
    <row r="158" spans="1:8" ht="25.5">
      <c r="A158" s="177"/>
      <c r="B158" s="48" t="s">
        <v>97</v>
      </c>
      <c r="C158" s="21" t="s">
        <v>67</v>
      </c>
      <c r="D158" s="27">
        <f>1.62432*C158/150</f>
        <v>2.1657599999999997</v>
      </c>
      <c r="E158" s="27">
        <f>1.66144*C158/150</f>
        <v>2.2152533333333335</v>
      </c>
      <c r="F158" s="27">
        <f>9.03266*C158/150</f>
        <v>12.043546666666666</v>
      </c>
      <c r="G158" s="27">
        <f>57.58088*C158/150</f>
        <v>76.77450666666667</v>
      </c>
      <c r="H158" s="10" t="s">
        <v>77</v>
      </c>
    </row>
    <row r="159" spans="1:8" ht="15.75">
      <c r="A159" s="203" t="s">
        <v>10</v>
      </c>
      <c r="B159" s="204"/>
      <c r="C159" s="19">
        <v>400</v>
      </c>
      <c r="D159" s="31">
        <f>SUM(D156:D158)</f>
        <v>9.76211</v>
      </c>
      <c r="E159" s="31">
        <f>SUM(E156:E158)</f>
        <v>12.704653333333333</v>
      </c>
      <c r="F159" s="31">
        <f>SUM(F156:F158)</f>
        <v>52.732751666666665</v>
      </c>
      <c r="G159" s="31">
        <f>SUM(G156:G158)</f>
        <v>363.2633955555556</v>
      </c>
      <c r="H159" s="70"/>
    </row>
    <row r="160" spans="1:8" ht="15.75">
      <c r="A160" s="175" t="s">
        <v>22</v>
      </c>
      <c r="B160" s="119"/>
      <c r="C160" s="106"/>
      <c r="D160" s="36"/>
      <c r="E160" s="36"/>
      <c r="F160" s="36"/>
      <c r="G160" s="36"/>
      <c r="H160" s="85"/>
    </row>
    <row r="161" spans="1:8" ht="15.75">
      <c r="A161" s="177"/>
      <c r="B161" s="49" t="s">
        <v>200</v>
      </c>
      <c r="C161" s="106">
        <v>100</v>
      </c>
      <c r="D161" s="36">
        <v>0.8</v>
      </c>
      <c r="E161" s="36">
        <v>0.3</v>
      </c>
      <c r="F161" s="36">
        <v>9.6</v>
      </c>
      <c r="G161" s="36">
        <v>42</v>
      </c>
      <c r="H161" s="85" t="s">
        <v>48</v>
      </c>
    </row>
    <row r="162" spans="1:8" ht="15.75">
      <c r="A162" s="175" t="s">
        <v>11</v>
      </c>
      <c r="B162" s="148"/>
      <c r="C162" s="139"/>
      <c r="D162" s="149"/>
      <c r="E162" s="149"/>
      <c r="F162" s="149"/>
      <c r="G162" s="149"/>
      <c r="H162" s="134"/>
    </row>
    <row r="163" spans="1:8" ht="38.25">
      <c r="A163" s="176"/>
      <c r="B163" s="64" t="s">
        <v>98</v>
      </c>
      <c r="C163" s="1">
        <v>30</v>
      </c>
      <c r="D163" s="3">
        <v>0.25839999999999996</v>
      </c>
      <c r="E163" s="3">
        <v>2.8427480000000003</v>
      </c>
      <c r="F163" s="3">
        <v>0.8415680000000001</v>
      </c>
      <c r="G163" s="3">
        <v>29.9</v>
      </c>
      <c r="H163" s="95" t="s">
        <v>82</v>
      </c>
    </row>
    <row r="164" spans="1:8" ht="38.25">
      <c r="A164" s="176"/>
      <c r="B164" s="51" t="s">
        <v>158</v>
      </c>
      <c r="C164" s="35">
        <v>220</v>
      </c>
      <c r="D164" s="25">
        <v>5.488378</v>
      </c>
      <c r="E164" s="25">
        <v>2.261336</v>
      </c>
      <c r="F164" s="25">
        <v>12.965679999999999</v>
      </c>
      <c r="G164" s="25">
        <v>94.17</v>
      </c>
      <c r="H164" s="156" t="s">
        <v>117</v>
      </c>
    </row>
    <row r="165" spans="1:8" ht="25.5">
      <c r="A165" s="176"/>
      <c r="B165" s="16" t="s">
        <v>95</v>
      </c>
      <c r="C165" s="9">
        <v>180</v>
      </c>
      <c r="D165" s="7">
        <f>13.86*C165/180</f>
        <v>13.859999999999998</v>
      </c>
      <c r="E165" s="7">
        <f>13.72*C165/180</f>
        <v>13.719999999999999</v>
      </c>
      <c r="F165" s="7">
        <f>36.01*C165/180</f>
        <v>36.01</v>
      </c>
      <c r="G165" s="7">
        <f>323.02*C165/180</f>
        <v>323.02</v>
      </c>
      <c r="H165" s="10" t="s">
        <v>87</v>
      </c>
    </row>
    <row r="166" spans="1:8" ht="25.5">
      <c r="A166" s="176"/>
      <c r="B166" s="51" t="s">
        <v>110</v>
      </c>
      <c r="C166" s="23">
        <v>180</v>
      </c>
      <c r="D166" s="20">
        <f>0.41*C166/150</f>
        <v>0.492</v>
      </c>
      <c r="E166" s="20">
        <f>0.06*C166/150</f>
        <v>0.072</v>
      </c>
      <c r="F166" s="20">
        <f>17.01*C166/150</f>
        <v>20.412000000000003</v>
      </c>
      <c r="G166" s="20">
        <f>70.15*C166/150</f>
        <v>84.18</v>
      </c>
      <c r="H166" s="70" t="s">
        <v>45</v>
      </c>
    </row>
    <row r="167" spans="1:8" ht="15.75">
      <c r="A167" s="176"/>
      <c r="B167" s="48" t="s">
        <v>12</v>
      </c>
      <c r="C167" s="23">
        <v>20</v>
      </c>
      <c r="D167" s="20">
        <f>1.32*C167/20</f>
        <v>1.32</v>
      </c>
      <c r="E167" s="20">
        <f>0.22*C167/20</f>
        <v>0.22000000000000003</v>
      </c>
      <c r="F167" s="20">
        <f>8.2*C167/20</f>
        <v>8.2</v>
      </c>
      <c r="G167" s="25">
        <f>40*C167/20</f>
        <v>40</v>
      </c>
      <c r="H167" s="70" t="s">
        <v>44</v>
      </c>
    </row>
    <row r="168" spans="1:8" ht="15.75">
      <c r="A168" s="177"/>
      <c r="B168" s="48" t="s">
        <v>33</v>
      </c>
      <c r="C168" s="74">
        <v>30</v>
      </c>
      <c r="D168" s="20">
        <f>2.28*C168/30</f>
        <v>2.28</v>
      </c>
      <c r="E168" s="20">
        <f>0.24*C168/30</f>
        <v>0.23999999999999996</v>
      </c>
      <c r="F168" s="20">
        <f>14.76*C168/30</f>
        <v>14.76</v>
      </c>
      <c r="G168" s="20">
        <f>70.5*C168/30</f>
        <v>70.5</v>
      </c>
      <c r="H168" s="70" t="s">
        <v>43</v>
      </c>
    </row>
    <row r="169" spans="1:8" ht="15.75">
      <c r="A169" s="186" t="s">
        <v>69</v>
      </c>
      <c r="B169" s="110" t="s">
        <v>13</v>
      </c>
      <c r="C169" s="19">
        <v>660</v>
      </c>
      <c r="D169" s="31">
        <f>SUM(D163:D168)</f>
        <v>23.698778</v>
      </c>
      <c r="E169" s="31">
        <f>SUM(E163:E168)</f>
        <v>19.356083999999996</v>
      </c>
      <c r="F169" s="31">
        <f>SUM(F163:F168)</f>
        <v>93.189248</v>
      </c>
      <c r="G169" s="31">
        <f>SUM(G163:G168)</f>
        <v>641.77</v>
      </c>
      <c r="H169" s="70"/>
    </row>
    <row r="170" spans="1:8" ht="25.5">
      <c r="A170" s="187"/>
      <c r="B170" s="63" t="s">
        <v>159</v>
      </c>
      <c r="C170" s="35">
        <v>200</v>
      </c>
      <c r="D170" s="25">
        <v>19.59218</v>
      </c>
      <c r="E170" s="25">
        <v>8.916239999999998</v>
      </c>
      <c r="F170" s="25">
        <v>42.11626</v>
      </c>
      <c r="G170" s="25">
        <v>323</v>
      </c>
      <c r="H170" s="85" t="s">
        <v>55</v>
      </c>
    </row>
    <row r="171" spans="1:8" ht="15.75">
      <c r="A171" s="187"/>
      <c r="B171" s="49" t="s">
        <v>107</v>
      </c>
      <c r="C171" s="78" t="s">
        <v>37</v>
      </c>
      <c r="D171" s="5">
        <f>0.0376*C171/180</f>
        <v>0.0376</v>
      </c>
      <c r="E171" s="5">
        <f>0.008976*C171/180</f>
        <v>0.008976</v>
      </c>
      <c r="F171" s="5">
        <f>6.81863*C171/180</f>
        <v>6.81863</v>
      </c>
      <c r="G171" s="25">
        <f>29.34*C171/180</f>
        <v>29.34</v>
      </c>
      <c r="H171" s="70" t="s">
        <v>39</v>
      </c>
    </row>
    <row r="172" spans="1:8" ht="15.75">
      <c r="A172" s="188"/>
      <c r="B172" s="57" t="s">
        <v>94</v>
      </c>
      <c r="C172" s="9">
        <v>22</v>
      </c>
      <c r="D172" s="13">
        <f>0.8*C172/11</f>
        <v>1.6</v>
      </c>
      <c r="E172" s="13">
        <f>2.1*C172/11</f>
        <v>4.2</v>
      </c>
      <c r="F172" s="13">
        <f>7.5*C172/11</f>
        <v>15</v>
      </c>
      <c r="G172" s="13">
        <f>52*C172/11</f>
        <v>104</v>
      </c>
      <c r="H172" s="14" t="s">
        <v>71</v>
      </c>
    </row>
    <row r="173" spans="1:8" ht="15.75">
      <c r="A173" s="203" t="s">
        <v>70</v>
      </c>
      <c r="B173" s="204"/>
      <c r="C173" s="86">
        <v>402</v>
      </c>
      <c r="D173" s="31">
        <f>SUM(D170:D172)</f>
        <v>21.22978</v>
      </c>
      <c r="E173" s="31">
        <f>SUM(E170:E172)</f>
        <v>13.125215999999998</v>
      </c>
      <c r="F173" s="31">
        <f>SUM(F170:F172)</f>
        <v>63.934889999999996</v>
      </c>
      <c r="G173" s="31">
        <f>SUM(G170:G172)</f>
        <v>456.34</v>
      </c>
      <c r="H173" s="70"/>
    </row>
    <row r="174" spans="1:8" ht="15.75">
      <c r="A174" s="140"/>
      <c r="B174" s="113" t="s">
        <v>20</v>
      </c>
      <c r="C174" s="86"/>
      <c r="D174" s="34">
        <f>D159+D161+D169+D173</f>
        <v>55.490668</v>
      </c>
      <c r="E174" s="34">
        <f>E159+E161+E169+E173</f>
        <v>45.48595333333333</v>
      </c>
      <c r="F174" s="34">
        <f>F159+F161+F169+F173</f>
        <v>219.45688966666665</v>
      </c>
      <c r="G174" s="34">
        <f>G159+G161+G169+G173</f>
        <v>1503.3733955555556</v>
      </c>
      <c r="H174" s="94"/>
    </row>
    <row r="175" spans="1:8" ht="15.75">
      <c r="A175" s="186" t="s">
        <v>9</v>
      </c>
      <c r="B175" s="108" t="s">
        <v>212</v>
      </c>
      <c r="C175" s="108"/>
      <c r="D175" s="108"/>
      <c r="E175" s="108"/>
      <c r="F175" s="108"/>
      <c r="G175" s="108"/>
      <c r="H175" s="108"/>
    </row>
    <row r="176" spans="1:8" ht="25.5">
      <c r="A176" s="187"/>
      <c r="B176" s="63" t="s">
        <v>115</v>
      </c>
      <c r="C176" s="15" t="s">
        <v>91</v>
      </c>
      <c r="D176" s="12">
        <f>4.5919*C176/150</f>
        <v>4.8980266666666665</v>
      </c>
      <c r="E176" s="12">
        <f>2.794*C176/150</f>
        <v>2.9802666666666666</v>
      </c>
      <c r="F176" s="12">
        <f>24.66646*C176/150</f>
        <v>26.31089066666667</v>
      </c>
      <c r="G176" s="12">
        <f>142.17944*C176/150</f>
        <v>151.65806933333334</v>
      </c>
      <c r="H176" s="97" t="s">
        <v>85</v>
      </c>
    </row>
    <row r="177" spans="1:8" ht="25.5">
      <c r="A177" s="187"/>
      <c r="B177" s="16" t="s">
        <v>104</v>
      </c>
      <c r="C177" s="78" t="s">
        <v>170</v>
      </c>
      <c r="D177" s="25">
        <v>6.52</v>
      </c>
      <c r="E177" s="25">
        <v>9.25</v>
      </c>
      <c r="F177" s="25">
        <v>21.965</v>
      </c>
      <c r="G177" s="25">
        <v>198.6</v>
      </c>
      <c r="H177" s="73" t="s">
        <v>38</v>
      </c>
    </row>
    <row r="178" spans="1:8" ht="15.75">
      <c r="A178" s="188"/>
      <c r="B178" s="48" t="s">
        <v>140</v>
      </c>
      <c r="C178" s="21" t="s">
        <v>67</v>
      </c>
      <c r="D178" s="27">
        <f>1.62432*C178/150</f>
        <v>2.1657599999999997</v>
      </c>
      <c r="E178" s="27">
        <f>1.66144*C178/150</f>
        <v>2.2152533333333335</v>
      </c>
      <c r="F178" s="27">
        <f>9.03266*C178/150</f>
        <v>12.043546666666666</v>
      </c>
      <c r="G178" s="27">
        <f>57.58088*C178/150</f>
        <v>76.77450666666667</v>
      </c>
      <c r="H178" s="131" t="s">
        <v>180</v>
      </c>
    </row>
    <row r="179" spans="1:8" ht="15.75">
      <c r="A179" s="203" t="s">
        <v>10</v>
      </c>
      <c r="B179" s="204"/>
      <c r="C179" s="19">
        <v>410</v>
      </c>
      <c r="D179" s="31">
        <f>SUM(D176:D178)</f>
        <v>13.583786666666665</v>
      </c>
      <c r="E179" s="31">
        <f>SUM(E176:E178)</f>
        <v>14.44552</v>
      </c>
      <c r="F179" s="31">
        <f>SUM(F176:F178)</f>
        <v>60.31943733333333</v>
      </c>
      <c r="G179" s="31">
        <f>SUM(G176:G178)</f>
        <v>427.03257599999995</v>
      </c>
      <c r="H179" s="70"/>
    </row>
    <row r="180" spans="1:8" ht="15.75">
      <c r="A180" s="175" t="s">
        <v>11</v>
      </c>
      <c r="B180" s="119" t="s">
        <v>169</v>
      </c>
      <c r="C180" s="106"/>
      <c r="D180" s="36"/>
      <c r="E180" s="36"/>
      <c r="F180" s="36"/>
      <c r="G180" s="36"/>
      <c r="H180" s="85"/>
    </row>
    <row r="181" spans="1:8" ht="15.75">
      <c r="A181" s="176"/>
      <c r="B181" s="49" t="s">
        <v>201</v>
      </c>
      <c r="C181" s="18">
        <v>180</v>
      </c>
      <c r="D181" s="36">
        <v>0.4</v>
      </c>
      <c r="E181" s="36">
        <v>0.3</v>
      </c>
      <c r="F181" s="36">
        <v>10.3</v>
      </c>
      <c r="G181" s="36">
        <v>47</v>
      </c>
      <c r="H181" s="85" t="s">
        <v>46</v>
      </c>
    </row>
    <row r="182" spans="1:8" ht="15.75">
      <c r="A182" s="176"/>
      <c r="B182" s="49" t="s">
        <v>160</v>
      </c>
      <c r="C182" s="74">
        <v>50</v>
      </c>
      <c r="D182" s="5">
        <v>0.35</v>
      </c>
      <c r="E182" s="5">
        <v>0.05</v>
      </c>
      <c r="F182" s="5">
        <v>0.95</v>
      </c>
      <c r="G182" s="39">
        <v>5.5</v>
      </c>
      <c r="H182" s="120" t="s">
        <v>118</v>
      </c>
    </row>
    <row r="183" spans="1:8" ht="38.25">
      <c r="A183" s="176"/>
      <c r="B183" s="51" t="s">
        <v>111</v>
      </c>
      <c r="C183" s="35">
        <v>210</v>
      </c>
      <c r="D183" s="25">
        <v>6.389368</v>
      </c>
      <c r="E183" s="25">
        <v>6.163872</v>
      </c>
      <c r="F183" s="25">
        <v>14.365260000000001</v>
      </c>
      <c r="G183" s="25">
        <v>138</v>
      </c>
      <c r="H183" s="70" t="s">
        <v>60</v>
      </c>
    </row>
    <row r="184" spans="1:8" ht="25.5">
      <c r="A184" s="176"/>
      <c r="B184" s="16" t="s">
        <v>161</v>
      </c>
      <c r="C184" s="6">
        <v>70</v>
      </c>
      <c r="D184" s="27">
        <f>6.55493333333333*C184/50</f>
        <v>9.176906666666662</v>
      </c>
      <c r="E184" s="27">
        <f>8.9628*C184/50</f>
        <v>12.54792</v>
      </c>
      <c r="F184" s="27">
        <f>6.37*C184/50</f>
        <v>8.918000000000001</v>
      </c>
      <c r="G184" s="27">
        <f>132*C184/50</f>
        <v>184.8</v>
      </c>
      <c r="H184" s="85" t="s">
        <v>192</v>
      </c>
    </row>
    <row r="185" spans="1:8" ht="25.5">
      <c r="A185" s="176"/>
      <c r="B185" s="16" t="s">
        <v>109</v>
      </c>
      <c r="C185" s="35">
        <v>130</v>
      </c>
      <c r="D185" s="25">
        <f>2.45*C185/120</f>
        <v>2.654166666666667</v>
      </c>
      <c r="E185" s="25">
        <f>3.43*C185/120</f>
        <v>3.7158333333333338</v>
      </c>
      <c r="F185" s="25">
        <f>16.05*C185/120</f>
        <v>17.3875</v>
      </c>
      <c r="G185" s="25">
        <v>95</v>
      </c>
      <c r="H185" s="70" t="s">
        <v>42</v>
      </c>
    </row>
    <row r="186" spans="1:8" ht="25.5">
      <c r="A186" s="176"/>
      <c r="B186" s="51" t="s">
        <v>90</v>
      </c>
      <c r="C186" s="23">
        <v>180</v>
      </c>
      <c r="D186" s="20">
        <f>0.41*C186/150</f>
        <v>0.492</v>
      </c>
      <c r="E186" s="20">
        <f>0.06*C186/150</f>
        <v>0.072</v>
      </c>
      <c r="F186" s="20">
        <f>17.01*C186/150</f>
        <v>20.412000000000003</v>
      </c>
      <c r="G186" s="20">
        <f>70.15*C186/150</f>
        <v>84.18</v>
      </c>
      <c r="H186" s="85" t="s">
        <v>62</v>
      </c>
    </row>
    <row r="187" spans="1:8" ht="30" customHeight="1">
      <c r="A187" s="176"/>
      <c r="B187" s="48" t="s">
        <v>12</v>
      </c>
      <c r="C187" s="23">
        <v>30</v>
      </c>
      <c r="D187" s="20">
        <f>1.32*C187/20</f>
        <v>1.98</v>
      </c>
      <c r="E187" s="20">
        <f>0.22*C187/20</f>
        <v>0.32999999999999996</v>
      </c>
      <c r="F187" s="20">
        <f>8.2*C187/20</f>
        <v>12.299999999999999</v>
      </c>
      <c r="G187" s="25">
        <f>40*C187/20</f>
        <v>60</v>
      </c>
      <c r="H187" s="70" t="s">
        <v>44</v>
      </c>
    </row>
    <row r="188" spans="1:8" ht="32.25" customHeight="1">
      <c r="A188" s="177"/>
      <c r="B188" s="48" t="s">
        <v>33</v>
      </c>
      <c r="C188" s="74">
        <v>40</v>
      </c>
      <c r="D188" s="20">
        <f>2.28*C188/30</f>
        <v>3.0399999999999996</v>
      </c>
      <c r="E188" s="20">
        <f>0.24*C188/30</f>
        <v>0.32</v>
      </c>
      <c r="F188" s="20">
        <f>14.76*C188/30</f>
        <v>19.68</v>
      </c>
      <c r="G188" s="20">
        <f>70.5*C188/30</f>
        <v>94</v>
      </c>
      <c r="H188" s="70" t="s">
        <v>43</v>
      </c>
    </row>
    <row r="189" spans="1:8" ht="15.75">
      <c r="A189" s="186" t="s">
        <v>69</v>
      </c>
      <c r="B189" s="110" t="s">
        <v>13</v>
      </c>
      <c r="C189" s="19">
        <v>710</v>
      </c>
      <c r="D189" s="31">
        <f>SUM(D182:D188)</f>
        <v>24.08244133333333</v>
      </c>
      <c r="E189" s="31">
        <f>SUM(E182:E188)</f>
        <v>23.19962533333333</v>
      </c>
      <c r="F189" s="31">
        <f>SUM(F182:F188)</f>
        <v>94.01276000000001</v>
      </c>
      <c r="G189" s="31">
        <f>SUM(G182:G188)</f>
        <v>661.48</v>
      </c>
      <c r="H189" s="70"/>
    </row>
    <row r="190" spans="1:8" ht="38.25">
      <c r="A190" s="187"/>
      <c r="B190" s="66" t="s">
        <v>162</v>
      </c>
      <c r="C190" s="38" t="s">
        <v>67</v>
      </c>
      <c r="D190" s="7">
        <f>17.357194*C190/130</f>
        <v>26.703375384615384</v>
      </c>
      <c r="E190" s="7">
        <f>17.79888*C190/130</f>
        <v>27.38289230769231</v>
      </c>
      <c r="F190" s="7">
        <f>10.713248*C190/130</f>
        <v>16.481920000000002</v>
      </c>
      <c r="G190" s="7">
        <f>272.471688*C190/130</f>
        <v>419.1872123076922</v>
      </c>
      <c r="H190" s="131" t="s">
        <v>206</v>
      </c>
    </row>
    <row r="191" spans="1:8" ht="15.75">
      <c r="A191" s="187"/>
      <c r="B191" s="48" t="s">
        <v>33</v>
      </c>
      <c r="C191" s="74">
        <v>20</v>
      </c>
      <c r="D191" s="20">
        <f>2.28*C191/30</f>
        <v>1.5199999999999998</v>
      </c>
      <c r="E191" s="20">
        <f>0.24*C191/30</f>
        <v>0.16</v>
      </c>
      <c r="F191" s="20">
        <f>14.76*C191/30</f>
        <v>9.84</v>
      </c>
      <c r="G191" s="20">
        <f>70.5*C191/30</f>
        <v>47</v>
      </c>
      <c r="H191" s="70" t="s">
        <v>43</v>
      </c>
    </row>
    <row r="192" spans="1:8" ht="15.75">
      <c r="A192" s="188"/>
      <c r="B192" s="49" t="s">
        <v>107</v>
      </c>
      <c r="C192" s="78" t="s">
        <v>37</v>
      </c>
      <c r="D192" s="5">
        <f>0.0376*C192/180</f>
        <v>0.0376</v>
      </c>
      <c r="E192" s="5">
        <f>0.008976*C192/180</f>
        <v>0.008976</v>
      </c>
      <c r="F192" s="5">
        <f>6.81863*C192/180</f>
        <v>6.81863</v>
      </c>
      <c r="G192" s="25">
        <f>29.34*C192/180</f>
        <v>29.34</v>
      </c>
      <c r="H192" s="70" t="s">
        <v>39</v>
      </c>
    </row>
    <row r="193" spans="1:8" ht="15.75">
      <c r="A193" s="203" t="s">
        <v>70</v>
      </c>
      <c r="B193" s="204"/>
      <c r="C193" s="117">
        <v>400</v>
      </c>
      <c r="D193" s="31">
        <f>SUM(D190:D192)</f>
        <v>28.260975384615385</v>
      </c>
      <c r="E193" s="31">
        <f>SUM(E190:E192)</f>
        <v>27.55186830769231</v>
      </c>
      <c r="F193" s="31">
        <f>SUM(F190:F192)</f>
        <v>33.140550000000005</v>
      </c>
      <c r="G193" s="31">
        <f>SUM(G190:G192)</f>
        <v>495.5272123076922</v>
      </c>
      <c r="H193" s="70"/>
    </row>
    <row r="194" spans="1:8" ht="15.75">
      <c r="A194" s="108"/>
      <c r="B194" s="111" t="s">
        <v>21</v>
      </c>
      <c r="C194" s="86"/>
      <c r="D194" s="34">
        <f>D179+D181+D189+D193</f>
        <v>66.32720338461539</v>
      </c>
      <c r="E194" s="34">
        <f>E179+E181+E189+E193</f>
        <v>65.49701364102563</v>
      </c>
      <c r="F194" s="34">
        <f>F179+F181+F189+F193</f>
        <v>197.77274733333337</v>
      </c>
      <c r="G194" s="34">
        <f>G179+G181+G189+G193</f>
        <v>1631.0397883076923</v>
      </c>
      <c r="H194" s="80"/>
    </row>
    <row r="195" spans="1:8" ht="15.75">
      <c r="A195" s="175" t="s">
        <v>9</v>
      </c>
      <c r="B195" s="108" t="s">
        <v>213</v>
      </c>
      <c r="C195" s="108"/>
      <c r="D195" s="108"/>
      <c r="E195" s="108"/>
      <c r="F195" s="108"/>
      <c r="G195" s="108"/>
      <c r="H195" s="108"/>
    </row>
    <row r="196" spans="1:8" ht="25.5">
      <c r="A196" s="176"/>
      <c r="B196" s="16" t="s">
        <v>89</v>
      </c>
      <c r="C196" s="6">
        <v>160</v>
      </c>
      <c r="D196" s="27">
        <f>5.6212*C196/130</f>
        <v>6.9184</v>
      </c>
      <c r="E196" s="27">
        <f>2.3738*C196/130</f>
        <v>2.9215999999999998</v>
      </c>
      <c r="F196" s="27">
        <f>23.209277*C196/130</f>
        <v>28.565264</v>
      </c>
      <c r="G196" s="104">
        <f>103.686108*C196/130</f>
        <v>127.6136713846154</v>
      </c>
      <c r="H196" s="100" t="s">
        <v>121</v>
      </c>
    </row>
    <row r="197" spans="1:8" ht="15.75">
      <c r="A197" s="176"/>
      <c r="B197" s="48" t="s">
        <v>96</v>
      </c>
      <c r="C197" s="69" t="s">
        <v>170</v>
      </c>
      <c r="D197" s="20">
        <v>2.33</v>
      </c>
      <c r="E197" s="20">
        <v>8.12</v>
      </c>
      <c r="F197" s="20">
        <v>15.55</v>
      </c>
      <c r="G197" s="5">
        <v>144.7</v>
      </c>
      <c r="H197" s="35" t="s">
        <v>49</v>
      </c>
    </row>
    <row r="198" spans="1:8" ht="25.5">
      <c r="A198" s="176"/>
      <c r="B198" s="48" t="s">
        <v>97</v>
      </c>
      <c r="C198" s="21" t="s">
        <v>67</v>
      </c>
      <c r="D198" s="27">
        <f>1.62432*C198/150</f>
        <v>2.1657599999999997</v>
      </c>
      <c r="E198" s="27">
        <f>1.66144*C198/150</f>
        <v>2.2152533333333335</v>
      </c>
      <c r="F198" s="27">
        <f>9.03266*C198/150</f>
        <v>12.043546666666666</v>
      </c>
      <c r="G198" s="27">
        <f>57.58088*C198/150</f>
        <v>76.77450666666667</v>
      </c>
      <c r="H198" s="10" t="s">
        <v>77</v>
      </c>
    </row>
    <row r="199" spans="1:8" ht="15.75">
      <c r="A199" s="177"/>
      <c r="B199" s="107" t="s">
        <v>10</v>
      </c>
      <c r="C199" s="19">
        <v>410</v>
      </c>
      <c r="D199" s="31">
        <f>SUM(D196:D198)</f>
        <v>11.414159999999999</v>
      </c>
      <c r="E199" s="31">
        <f>SUM(E196:E198)</f>
        <v>13.256853333333332</v>
      </c>
      <c r="F199" s="31">
        <f>SUM(F196:F198)</f>
        <v>56.15881066666666</v>
      </c>
      <c r="G199" s="31">
        <f>SUM(G196:G198)</f>
        <v>349.08817805128206</v>
      </c>
      <c r="H199" s="70"/>
    </row>
    <row r="200" spans="1:8" ht="15.75">
      <c r="A200" s="175" t="s">
        <v>11</v>
      </c>
      <c r="B200" s="119" t="s">
        <v>169</v>
      </c>
      <c r="C200" s="106"/>
      <c r="D200" s="36"/>
      <c r="E200" s="36"/>
      <c r="F200" s="36"/>
      <c r="G200" s="36"/>
      <c r="H200" s="70"/>
    </row>
    <row r="201" spans="1:8" ht="15.75">
      <c r="A201" s="176"/>
      <c r="B201" s="49" t="s">
        <v>34</v>
      </c>
      <c r="C201" s="106">
        <v>180</v>
      </c>
      <c r="D201" s="36">
        <f>0.75*C201/150</f>
        <v>0.9</v>
      </c>
      <c r="E201" s="36">
        <f>0.15*C201/150</f>
        <v>0.18</v>
      </c>
      <c r="F201" s="36">
        <f>15.15*C201/150</f>
        <v>18.18</v>
      </c>
      <c r="G201" s="36">
        <f>69*C201/150</f>
        <v>82.8</v>
      </c>
      <c r="H201" s="70" t="s">
        <v>40</v>
      </c>
    </row>
    <row r="202" spans="1:8" ht="15.75">
      <c r="A202" s="176"/>
      <c r="B202" s="119" t="s">
        <v>11</v>
      </c>
      <c r="C202" s="74"/>
      <c r="D202" s="5"/>
      <c r="E202" s="5"/>
      <c r="F202" s="5"/>
      <c r="G202" s="39"/>
      <c r="H202" s="115"/>
    </row>
    <row r="203" spans="1:8" ht="15.75">
      <c r="A203" s="176"/>
      <c r="B203" s="49" t="s">
        <v>163</v>
      </c>
      <c r="C203" s="74">
        <v>50</v>
      </c>
      <c r="D203" s="5">
        <v>0.55</v>
      </c>
      <c r="E203" s="5">
        <v>0.1</v>
      </c>
      <c r="F203" s="5">
        <v>1.9</v>
      </c>
      <c r="G203" s="39">
        <v>12</v>
      </c>
      <c r="H203" s="120" t="s">
        <v>185</v>
      </c>
    </row>
    <row r="204" spans="1:8" ht="45" customHeight="1">
      <c r="A204" s="176"/>
      <c r="B204" s="63" t="s">
        <v>114</v>
      </c>
      <c r="C204" s="11">
        <v>170</v>
      </c>
      <c r="D204" s="4">
        <v>3.409688</v>
      </c>
      <c r="E204" s="4">
        <v>5.145251999999999</v>
      </c>
      <c r="F204" s="4">
        <v>6.181629999999999</v>
      </c>
      <c r="G204" s="4">
        <v>84.67254</v>
      </c>
      <c r="H204" s="65" t="s">
        <v>86</v>
      </c>
    </row>
    <row r="205" spans="1:8" ht="50.25" customHeight="1">
      <c r="A205" s="176"/>
      <c r="B205" s="64" t="s">
        <v>99</v>
      </c>
      <c r="C205" s="1">
        <v>180</v>
      </c>
      <c r="D205" s="3">
        <v>15.67</v>
      </c>
      <c r="E205" s="3">
        <v>14.94</v>
      </c>
      <c r="F205" s="3">
        <v>13.48</v>
      </c>
      <c r="G205" s="3">
        <v>251.05</v>
      </c>
      <c r="H205" s="95" t="s">
        <v>65</v>
      </c>
    </row>
    <row r="206" spans="1:8" ht="15.75">
      <c r="A206" s="176"/>
      <c r="B206" s="48" t="s">
        <v>100</v>
      </c>
      <c r="C206" s="23">
        <v>180</v>
      </c>
      <c r="D206" s="20">
        <f>0.48*C206/150</f>
        <v>0.576</v>
      </c>
      <c r="E206" s="20">
        <f>0.2*C206/150</f>
        <v>0.24</v>
      </c>
      <c r="F206" s="20">
        <f>12.95*C206/150</f>
        <v>15.54</v>
      </c>
      <c r="G206" s="20">
        <f>55.52*C206/150</f>
        <v>66.62400000000001</v>
      </c>
      <c r="H206" s="70" t="s">
        <v>52</v>
      </c>
    </row>
    <row r="207" spans="1:8" ht="15.75">
      <c r="A207" s="177"/>
      <c r="B207" s="48" t="s">
        <v>12</v>
      </c>
      <c r="C207" s="23">
        <v>30</v>
      </c>
      <c r="D207" s="20">
        <f>1.32*C207/20</f>
        <v>1.98</v>
      </c>
      <c r="E207" s="20">
        <f>0.22*C207/20</f>
        <v>0.32999999999999996</v>
      </c>
      <c r="F207" s="20">
        <f>8.2*C207/20</f>
        <v>12.299999999999999</v>
      </c>
      <c r="G207" s="25">
        <f>40*C207/20</f>
        <v>60</v>
      </c>
      <c r="H207" s="70" t="s">
        <v>44</v>
      </c>
    </row>
    <row r="208" spans="1:8" ht="15.75">
      <c r="A208" s="182" t="s">
        <v>69</v>
      </c>
      <c r="B208" s="48" t="s">
        <v>33</v>
      </c>
      <c r="C208" s="74">
        <v>30</v>
      </c>
      <c r="D208" s="20">
        <f>2.28*C208/30</f>
        <v>2.28</v>
      </c>
      <c r="E208" s="20">
        <f>0.24*C208/30</f>
        <v>0.23999999999999996</v>
      </c>
      <c r="F208" s="20">
        <f>14.76*C208/30</f>
        <v>14.76</v>
      </c>
      <c r="G208" s="20">
        <f>70.5*C208/30</f>
        <v>70.5</v>
      </c>
      <c r="H208" s="70" t="s">
        <v>43</v>
      </c>
    </row>
    <row r="209" spans="1:8" ht="15.75">
      <c r="A209" s="205"/>
      <c r="B209" s="110" t="s">
        <v>13</v>
      </c>
      <c r="C209" s="19">
        <v>640</v>
      </c>
      <c r="D209" s="31">
        <f>SUM(D203:D208)</f>
        <v>24.465688000000004</v>
      </c>
      <c r="E209" s="31">
        <f>SUM(E203:E208)</f>
        <v>20.995251999999994</v>
      </c>
      <c r="F209" s="31">
        <f>SUM(F203:F208)</f>
        <v>64.16163</v>
      </c>
      <c r="G209" s="31">
        <f>SUM(G203:G208)</f>
        <v>544.84654</v>
      </c>
      <c r="H209" s="70"/>
    </row>
    <row r="210" spans="1:8" ht="31.5" customHeight="1">
      <c r="A210" s="205"/>
      <c r="B210" s="58" t="s">
        <v>164</v>
      </c>
      <c r="C210" s="35">
        <v>150</v>
      </c>
      <c r="D210" s="25">
        <v>19.175919999999998</v>
      </c>
      <c r="E210" s="25">
        <v>12.29168</v>
      </c>
      <c r="F210" s="25">
        <v>39.07340000000001</v>
      </c>
      <c r="G210" s="25">
        <v>343</v>
      </c>
      <c r="H210" s="120" t="s">
        <v>120</v>
      </c>
    </row>
    <row r="211" spans="1:8" ht="15.75">
      <c r="A211" s="205"/>
      <c r="B211" s="48" t="s">
        <v>101</v>
      </c>
      <c r="C211" s="23">
        <v>200</v>
      </c>
      <c r="D211" s="20">
        <f>0.23*C211/180</f>
        <v>0.25555555555555554</v>
      </c>
      <c r="E211" s="20">
        <f>0.05*C211/180</f>
        <v>0.05555555555555555</v>
      </c>
      <c r="F211" s="20">
        <f>6.98*C211/180</f>
        <v>7.7555555555555555</v>
      </c>
      <c r="G211" s="25">
        <f>29.34*C211/180</f>
        <v>32.6</v>
      </c>
      <c r="H211" s="70" t="s">
        <v>47</v>
      </c>
    </row>
    <row r="212" spans="1:8" ht="15.75">
      <c r="A212" s="183"/>
      <c r="B212" s="48" t="s">
        <v>12</v>
      </c>
      <c r="C212" s="23">
        <v>30</v>
      </c>
      <c r="D212" s="20">
        <f>1.32*C212/20</f>
        <v>1.98</v>
      </c>
      <c r="E212" s="20">
        <f>0.22*C212/20</f>
        <v>0.32999999999999996</v>
      </c>
      <c r="F212" s="20">
        <f>8.2*C212/20</f>
        <v>12.299999999999999</v>
      </c>
      <c r="G212" s="25">
        <f>40*C212/20</f>
        <v>60</v>
      </c>
      <c r="H212" s="70" t="s">
        <v>44</v>
      </c>
    </row>
    <row r="213" spans="1:8" ht="15.75">
      <c r="A213" s="195" t="s">
        <v>165</v>
      </c>
      <c r="B213" s="196"/>
      <c r="C213" s="91">
        <v>380</v>
      </c>
      <c r="D213" s="92">
        <f>SUM(D210:D212)</f>
        <v>21.411475555555555</v>
      </c>
      <c r="E213" s="92">
        <f>SUM(E210:E212)</f>
        <v>12.677235555555555</v>
      </c>
      <c r="F213" s="92">
        <f>SUM(F210:F212)</f>
        <v>59.12895555555556</v>
      </c>
      <c r="G213" s="92">
        <f>SUM(G210:G212)</f>
        <v>435.6</v>
      </c>
      <c r="H213" s="70"/>
    </row>
    <row r="214" spans="2:8" ht="15.75">
      <c r="B214" s="155" t="s">
        <v>30</v>
      </c>
      <c r="C214" s="150"/>
      <c r="D214" s="151">
        <f>D199+D201+D209+D213</f>
        <v>58.191323555555556</v>
      </c>
      <c r="E214" s="151">
        <f>E199+E201+E209+E213</f>
        <v>47.10934088888888</v>
      </c>
      <c r="F214" s="151">
        <f>F199+F201+F209+F213</f>
        <v>197.62939622222223</v>
      </c>
      <c r="G214" s="151">
        <f>G199+G201+G209+G213</f>
        <v>1412.334718051282</v>
      </c>
      <c r="H214" s="152"/>
    </row>
    <row r="215" spans="2:8" ht="15.75">
      <c r="B215" s="53"/>
      <c r="C215" s="24"/>
      <c r="D215" s="45"/>
      <c r="E215" s="45"/>
      <c r="F215" s="45"/>
      <c r="G215" s="45"/>
      <c r="H215" s="8"/>
    </row>
  </sheetData>
  <sheetProtection/>
  <mergeCells count="73">
    <mergeCell ref="A200:A207"/>
    <mergeCell ref="A169:A172"/>
    <mergeCell ref="A173:B173"/>
    <mergeCell ref="A175:A178"/>
    <mergeCell ref="A208:A212"/>
    <mergeCell ref="A213:B213"/>
    <mergeCell ref="A179:B179"/>
    <mergeCell ref="A180:A188"/>
    <mergeCell ref="A189:A192"/>
    <mergeCell ref="A193:B193"/>
    <mergeCell ref="A195:A199"/>
    <mergeCell ref="A141:A149"/>
    <mergeCell ref="A153:B153"/>
    <mergeCell ref="A154:B154"/>
    <mergeCell ref="A159:B159"/>
    <mergeCell ref="A160:A161"/>
    <mergeCell ref="A162:A168"/>
    <mergeCell ref="A94:A95"/>
    <mergeCell ref="A96:A103"/>
    <mergeCell ref="A104:B104"/>
    <mergeCell ref="A105:A110"/>
    <mergeCell ref="A111:B111"/>
    <mergeCell ref="A113:B113"/>
    <mergeCell ref="G2:H2"/>
    <mergeCell ref="A5:H5"/>
    <mergeCell ref="A6:B6"/>
    <mergeCell ref="A7:A8"/>
    <mergeCell ref="B7:B8"/>
    <mergeCell ref="C7:C8"/>
    <mergeCell ref="D7:F7"/>
    <mergeCell ref="H7:H8"/>
    <mergeCell ref="A9:H9"/>
    <mergeCell ref="A10:H10"/>
    <mergeCell ref="A11:A13"/>
    <mergeCell ref="A14:B14"/>
    <mergeCell ref="A16:A22"/>
    <mergeCell ref="A23:B23"/>
    <mergeCell ref="A24:A28"/>
    <mergeCell ref="A29:B29"/>
    <mergeCell ref="A30:B30"/>
    <mergeCell ref="A31:H31"/>
    <mergeCell ref="A32:A34"/>
    <mergeCell ref="A35:B35"/>
    <mergeCell ref="A37:A43"/>
    <mergeCell ref="A44:B44"/>
    <mergeCell ref="A45:A47"/>
    <mergeCell ref="A48:B48"/>
    <mergeCell ref="A49:B49"/>
    <mergeCell ref="A50:H50"/>
    <mergeCell ref="A51:A53"/>
    <mergeCell ref="A54:B54"/>
    <mergeCell ref="A56:A62"/>
    <mergeCell ref="A63:B63"/>
    <mergeCell ref="A64:A66"/>
    <mergeCell ref="A67:B67"/>
    <mergeCell ref="A69:H69"/>
    <mergeCell ref="A70:A72"/>
    <mergeCell ref="A73:B73"/>
    <mergeCell ref="A83:A87"/>
    <mergeCell ref="A82:B82"/>
    <mergeCell ref="A90:A93"/>
    <mergeCell ref="A75:A81"/>
    <mergeCell ref="B88:C88"/>
    <mergeCell ref="A155:A158"/>
    <mergeCell ref="A129:A131"/>
    <mergeCell ref="A150:A152"/>
    <mergeCell ref="A114:A117"/>
    <mergeCell ref="A118:A119"/>
    <mergeCell ref="A120:A128"/>
    <mergeCell ref="A132:B132"/>
    <mergeCell ref="A133:B133"/>
    <mergeCell ref="A135:A138"/>
    <mergeCell ref="A139:A1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2021-05-18T08:25:44Z</cp:lastPrinted>
  <dcterms:created xsi:type="dcterms:W3CDTF">2006-09-16T00:00:00Z</dcterms:created>
  <dcterms:modified xsi:type="dcterms:W3CDTF">2023-05-31T11:49:52Z</dcterms:modified>
  <cp:category/>
  <cp:version/>
  <cp:contentType/>
  <cp:contentStatus/>
</cp:coreProperties>
</file>