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305" activeTab="0"/>
  </bookViews>
  <sheets>
    <sheet name="от 1 до 3 лет" sheetId="1" r:id="rId1"/>
    <sheet name="от 3 до 7 лет " sheetId="2" r:id="rId2"/>
  </sheets>
  <definedNames/>
  <calcPr fullCalcOnLoad="1"/>
</workbook>
</file>

<file path=xl/sharedStrings.xml><?xml version="1.0" encoding="utf-8"?>
<sst xmlns="http://schemas.openxmlformats.org/spreadsheetml/2006/main" count="925" uniqueCount="310">
  <si>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</si>
  <si>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</si>
  <si>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</si>
  <si>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</si>
  <si>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</si>
  <si>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</si>
  <si>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</si>
  <si>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</si>
  <si>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Неделя 1</t>
  </si>
  <si>
    <t>Завтрак</t>
  </si>
  <si>
    <t>Итого за завтрак:</t>
  </si>
  <si>
    <t>Обед</t>
  </si>
  <si>
    <t>Хлеб ржаной</t>
  </si>
  <si>
    <t>Итого за обед:</t>
  </si>
  <si>
    <t>Итого за день 1:</t>
  </si>
  <si>
    <t>Итого за день 3:</t>
  </si>
  <si>
    <t>Итого за день 4:</t>
  </si>
  <si>
    <t>Итого за день 5:</t>
  </si>
  <si>
    <t>День 6</t>
  </si>
  <si>
    <t>Итого за обед</t>
  </si>
  <si>
    <t>«Утверждаю»</t>
  </si>
  <si>
    <t>День 7</t>
  </si>
  <si>
    <t>Итого за день 7:</t>
  </si>
  <si>
    <t>День 8</t>
  </si>
  <si>
    <t>Итого за день 8:</t>
  </si>
  <si>
    <t>День 9</t>
  </si>
  <si>
    <t>Итого за день 9:</t>
  </si>
  <si>
    <t>Неделя 2</t>
  </si>
  <si>
    <t>Второй завтрак</t>
  </si>
  <si>
    <t xml:space="preserve">Второй завтрак 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</si>
  <si>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</si>
  <si>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</si>
  <si>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</si>
  <si>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</si>
  <si>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</si>
  <si>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Итого за день 2:</t>
  </si>
  <si>
    <t>День 10</t>
  </si>
  <si>
    <t>Итого за день 10:</t>
  </si>
  <si>
    <t>Второй завтрак:</t>
  </si>
  <si>
    <t>Итого за 6 день:</t>
  </si>
  <si>
    <t>Хлеб пшеничный</t>
  </si>
  <si>
    <t>Сок фруктовый</t>
  </si>
  <si>
    <t>150/20</t>
  </si>
  <si>
    <t>Кефир 2,5%</t>
  </si>
  <si>
    <t>150/10</t>
  </si>
  <si>
    <t>ЭЦ</t>
  </si>
  <si>
    <t>150/10/10</t>
  </si>
  <si>
    <t>180</t>
  </si>
  <si>
    <t>ТК №306</t>
  </si>
  <si>
    <t>Компот из кураги (курага, сахар)</t>
  </si>
  <si>
    <t>Итого за ужин:</t>
  </si>
  <si>
    <t>ТК №3</t>
  </si>
  <si>
    <t>350</t>
  </si>
  <si>
    <t>ТК № 392</t>
  </si>
  <si>
    <t>ТК №399</t>
  </si>
  <si>
    <t>ТК №13</t>
  </si>
  <si>
    <t>ТК №67</t>
  </si>
  <si>
    <t>ТК №321</t>
  </si>
  <si>
    <t>ТК №6</t>
  </si>
  <si>
    <t>ТК №9</t>
  </si>
  <si>
    <t>ТК №376</t>
  </si>
  <si>
    <t>ТК №401</t>
  </si>
  <si>
    <t>Возрастная категория:  1,5-3 лет</t>
  </si>
  <si>
    <t>ТК №393</t>
  </si>
  <si>
    <t>ТК №368</t>
  </si>
  <si>
    <t>ТК №93</t>
  </si>
  <si>
    <t>ТК №1</t>
  </si>
  <si>
    <t>ТК №235</t>
  </si>
  <si>
    <t>Обед:</t>
  </si>
  <si>
    <t>ТК №15</t>
  </si>
  <si>
    <t>ТК №398</t>
  </si>
  <si>
    <t>ТК №173</t>
  </si>
  <si>
    <t>ТК №372</t>
  </si>
  <si>
    <t>ТК №204</t>
  </si>
  <si>
    <t>ТК №87</t>
  </si>
  <si>
    <t>ТК №635</t>
  </si>
  <si>
    <t>ТК №313</t>
  </si>
  <si>
    <t>ТК №137</t>
  </si>
  <si>
    <t>ТК №397</t>
  </si>
  <si>
    <t>ТК №76</t>
  </si>
  <si>
    <t>ТК №375</t>
  </si>
  <si>
    <t>ТК №215</t>
  </si>
  <si>
    <t>Йогурт 2,5%</t>
  </si>
  <si>
    <t>ТК №170</t>
  </si>
  <si>
    <t>10/20</t>
  </si>
  <si>
    <t>ТК №276</t>
  </si>
  <si>
    <t>Возрастная категория:  3-7 лет</t>
  </si>
  <si>
    <t>200</t>
  </si>
  <si>
    <t>160/5</t>
  </si>
  <si>
    <t>200/10/10</t>
  </si>
  <si>
    <t>200/10</t>
  </si>
  <si>
    <t>200/20</t>
  </si>
  <si>
    <t>ТК №57</t>
  </si>
  <si>
    <t>35/15</t>
  </si>
  <si>
    <t>Прием пищи</t>
  </si>
  <si>
    <t>Доля суточной потребности в пищевых веществах и энергии</t>
  </si>
  <si>
    <t xml:space="preserve">Завтрак </t>
  </si>
  <si>
    <t>20% ±5</t>
  </si>
  <si>
    <t>(266-297)</t>
  </si>
  <si>
    <t>5% ±5</t>
  </si>
  <si>
    <t>(66,5-73,5)</t>
  </si>
  <si>
    <t>35% ±5</t>
  </si>
  <si>
    <t>(465,5-514,5)</t>
  </si>
  <si>
    <t>Среднее значение за период по завтракам:</t>
  </si>
  <si>
    <t>Среднее значение за период по обедам:</t>
  </si>
  <si>
    <t>Среднее значение за период по дням:</t>
  </si>
  <si>
    <t>(342-374)</t>
  </si>
  <si>
    <t>(85,5-94,5)</t>
  </si>
  <si>
    <t>(598-661)</t>
  </si>
  <si>
    <t>Уплотненный полдник</t>
  </si>
  <si>
    <t>Итого за уплотненный полдник:</t>
  </si>
  <si>
    <t>Среднее значение за период по уплотненным полдникам:</t>
  </si>
  <si>
    <t>30% ±5</t>
  </si>
  <si>
    <t>(399-441)</t>
  </si>
  <si>
    <t>(513-567)</t>
  </si>
  <si>
    <t>380</t>
  </si>
  <si>
    <t>Кондитерское изделие (Печенье)</t>
  </si>
  <si>
    <t>-</t>
  </si>
  <si>
    <t>150</t>
  </si>
  <si>
    <t>120/30</t>
  </si>
  <si>
    <t>ТК №20</t>
  </si>
  <si>
    <t>ТК №8</t>
  </si>
  <si>
    <t>ТК №714</t>
  </si>
  <si>
    <t>ТК № 30</t>
  </si>
  <si>
    <t xml:space="preserve">Итого за второй завтрак </t>
  </si>
  <si>
    <t>ТК №316</t>
  </si>
  <si>
    <t>ТК 310</t>
  </si>
  <si>
    <t>ТК №291</t>
  </si>
  <si>
    <t>МБДОУ № 6 «Светлячок»</t>
  </si>
  <si>
    <t>ТК 513</t>
  </si>
  <si>
    <t>140</t>
  </si>
  <si>
    <t>Молоко 3,2%</t>
  </si>
  <si>
    <t>ТК №202</t>
  </si>
  <si>
    <t>ТК 189</t>
  </si>
  <si>
    <t>20/5/10</t>
  </si>
  <si>
    <t>ТК №36</t>
  </si>
  <si>
    <t>80/30</t>
  </si>
  <si>
    <t>100/30</t>
  </si>
  <si>
    <t>ТК №169</t>
  </si>
  <si>
    <t>ТК 394</t>
  </si>
  <si>
    <t>Фрукт (Яблоко свежее)</t>
  </si>
  <si>
    <t>Фрукт (Груша свежая)</t>
  </si>
  <si>
    <t>ТК №23</t>
  </si>
  <si>
    <t>ТК №409</t>
  </si>
  <si>
    <t>Кондитерское изделие (Пряник)</t>
  </si>
  <si>
    <t>80/20</t>
  </si>
  <si>
    <t>Суп картофельный с макаронными изделиями, с говядиной (говядина, картофель, макаронные изделия, морковь, лук репчатый, соль йодированная)</t>
  </si>
  <si>
    <t>ТК 100</t>
  </si>
  <si>
    <t>Простокваша фруктовая</t>
  </si>
  <si>
    <t>Котлета из говядины (говядина, хлеб пшеничный, сухари панировочные, масло подсолнечное)</t>
  </si>
  <si>
    <t>ТК 386</t>
  </si>
  <si>
    <t>Булочка молочная (молоко, мука пшеничная, дрожжи, масло сливочное, соль йодированная масло подсолнечное)</t>
  </si>
  <si>
    <t>ТК 477</t>
  </si>
  <si>
    <t>ТК №648</t>
  </si>
  <si>
    <t>310</t>
  </si>
  <si>
    <t>ТК 50</t>
  </si>
  <si>
    <t>Биточки из говядины (говядина, хлеб пшеничный, сухари панировочные, масло подсолнечное)</t>
  </si>
  <si>
    <t xml:space="preserve">Закуска порционная (Кукуруза) </t>
  </si>
  <si>
    <t>ТК 266</t>
  </si>
  <si>
    <t>Салат из свеклы</t>
  </si>
  <si>
    <t>ТК 33</t>
  </si>
  <si>
    <t>Перловка отварная (крупа ячменная, масло сливочное, соль йодированная)</t>
  </si>
  <si>
    <t>Биточки рыбные (треска, хлеб пшеничный, соль йодированная, масло подсолнечное)</t>
  </si>
  <si>
    <t>Кондитерское изделие (Вафли)</t>
  </si>
  <si>
    <t>ТК 160</t>
  </si>
  <si>
    <t>ТК №403</t>
  </si>
  <si>
    <t>150/20/10</t>
  </si>
  <si>
    <t>Свекольник с яйцом, со сметаной(1/2 яйца, свекла,картофель, морковь, лук репч., яйцо,томат паста, масло раст., соль йодир., сметана)</t>
  </si>
  <si>
    <t>ТК 306</t>
  </si>
  <si>
    <t>Каша гречневая молочная (крупа гречневая,молоко, сахар-песок)</t>
  </si>
  <si>
    <t>ТК 373/ ТК 528</t>
  </si>
  <si>
    <t>ТК№235</t>
  </si>
  <si>
    <t>Итого в среднем за период 7 дней:</t>
  </si>
  <si>
    <t>Компот из черной смородины (черная смородина, сахар-песок)</t>
  </si>
  <si>
    <t>160</t>
  </si>
  <si>
    <t>410</t>
  </si>
  <si>
    <t>30/5/15</t>
  </si>
  <si>
    <t>181</t>
  </si>
  <si>
    <t>Кондитерское изделие (Печенье) 2 шт.</t>
  </si>
  <si>
    <t>200/20/10</t>
  </si>
  <si>
    <t>120/20</t>
  </si>
  <si>
    <r>
      <t xml:space="preserve">Плов из говядины </t>
    </r>
    <r>
      <rPr>
        <sz val="10"/>
        <color indexed="8"/>
        <rFont val="Calibri"/>
        <family val="2"/>
      </rPr>
      <t>(говядина, крупа рисовая, морковь, лук репчатый, масло подсолнеч., соль йодир.)</t>
    </r>
  </si>
  <si>
    <r>
      <t xml:space="preserve">Допускается в течение дня отступление от норм калорийности по отдельным приемам пищи в пределах +/-5% </t>
    </r>
    <r>
      <rPr>
        <sz val="10"/>
        <color indexed="8"/>
        <rFont val="Calibri"/>
        <family val="2"/>
      </rPr>
      <t>при условии, что средний % пищевой ценности за неделю будет соответствовать нормам, по каждому приему пищи.</t>
    </r>
  </si>
  <si>
    <r>
      <t xml:space="preserve">3-7 лет 1620 ккал диапазон </t>
    </r>
    <r>
      <rPr>
        <b/>
        <sz val="12"/>
        <color indexed="8"/>
        <rFont val="Calibri"/>
        <family val="2"/>
      </rPr>
      <t>±5 (1539 – 1701)</t>
    </r>
  </si>
  <si>
    <t>Батон с маслом (батон, масло сливочное 72,5%)</t>
  </si>
  <si>
    <t>Напиток кофейный с молоком (кофейный напиток, молоко 3,2%, сахар)</t>
  </si>
  <si>
    <t>Рис отварной (крупа рисовая, масло сливочное, соль йодир.)</t>
  </si>
  <si>
    <t>Компот из свежих ягод (клюква свежемороженая, сахар)</t>
  </si>
  <si>
    <t>Жаркое по-домашнему из говядины (говядина 1 кат., картофель, лук репчатый, томатная паста, масло сливочное 72,5%, соль йодир.)</t>
  </si>
  <si>
    <t>Напиток из шиповника (шиповник (целые плоды), сахар)</t>
  </si>
  <si>
    <t>Чай с лимоном (чай-заварка, сахар, лимон)</t>
  </si>
  <si>
    <t>Кисель ягодный (кисель концентрат, сахар)</t>
  </si>
  <si>
    <t>Рагу из овощей с соусом (картофель, морковь, лук репчатый, капуста белокочанная, масло подсолнечное, сметана 15%, чеснок, мука пшеничная, соль йодир.)</t>
  </si>
  <si>
    <r>
      <t xml:space="preserve">Каша кукурузная жидкая </t>
    </r>
    <r>
      <rPr>
        <sz val="10"/>
        <color indexed="8"/>
        <rFont val="Calibri"/>
        <family val="2"/>
      </rPr>
      <t>(крупа кукурузная, молоко 3,2%, сахар, соль йодир.)</t>
    </r>
  </si>
  <si>
    <r>
      <t>Суп овощной на курином бульоне со сметаной</t>
    </r>
    <r>
      <rPr>
        <sz val="10"/>
        <color indexed="8"/>
        <rFont val="Calibri"/>
        <family val="2"/>
      </rPr>
      <t xml:space="preserve"> (куры 1кат., капуста белокочанная, картофель, масло растительное, морковь, лук репчатый, зеленый горошек консервированный, соль йодированная, сметана 15%)</t>
    </r>
  </si>
  <si>
    <r>
      <t xml:space="preserve">Компот из свежих яблок </t>
    </r>
    <r>
      <rPr>
        <sz val="10"/>
        <color indexed="8"/>
        <rFont val="Calibri"/>
        <family val="2"/>
      </rPr>
      <t>(яблоки, сахар, лимон. кислота)</t>
    </r>
  </si>
  <si>
    <r>
      <t xml:space="preserve">Запеканка картофельная с мясом </t>
    </r>
    <r>
      <rPr>
        <sz val="10"/>
        <color indexed="8"/>
        <rFont val="Calibri"/>
        <family val="2"/>
      </rPr>
      <t>(говядина 1 кат., картофель, лук репчатый, масло подсолн., молоко 3,2%, яйца, соль йодир.)</t>
    </r>
  </si>
  <si>
    <r>
      <t>Каша жидкая  из овсяных хлопьев «Геркулес»</t>
    </r>
    <r>
      <rPr>
        <sz val="10"/>
        <color indexed="8"/>
        <rFont val="Calibri"/>
        <family val="2"/>
      </rPr>
      <t xml:space="preserve"> (крупа овсяная Геркулес,  молоко 3,2%, сахар-песок, соль йодир.) </t>
    </r>
  </si>
  <si>
    <r>
      <t xml:space="preserve">Бутерброд с маслом, с сыром </t>
    </r>
    <r>
      <rPr>
        <sz val="10"/>
        <color indexed="8"/>
        <rFont val="Calibri"/>
        <family val="2"/>
      </rPr>
      <t>(батон, масло сливочное, сыр российский)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</si>
  <si>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 3,2%, сахар)</t>
    </r>
  </si>
  <si>
    <r>
      <t xml:space="preserve">Суп  картофельный с рыбой </t>
    </r>
    <r>
      <rPr>
        <sz val="10"/>
        <color indexed="8"/>
        <rFont val="Calibri"/>
        <family val="2"/>
      </rPr>
      <t>(треска, картофель, морковь, лук репч., масло подсолнечное, соль йодир.)</t>
    </r>
  </si>
  <si>
    <r>
      <t xml:space="preserve">Гарнир каша гречневая рассыпчатая </t>
    </r>
    <r>
      <rPr>
        <sz val="10"/>
        <color indexed="8"/>
        <rFont val="Calibri"/>
        <family val="2"/>
      </rPr>
      <t>(крупа кречневая, масло сливочное 72,5%, соль йодир.)</t>
    </r>
  </si>
  <si>
    <r>
      <t xml:space="preserve">Чай с сахаром </t>
    </r>
    <r>
      <rPr>
        <sz val="10"/>
        <color indexed="8"/>
        <rFont val="Calibri"/>
        <family val="2"/>
      </rPr>
      <t>(чай-заварка, сахар)</t>
    </r>
  </si>
  <si>
    <r>
      <t xml:space="preserve">Чай с молоком </t>
    </r>
    <r>
      <rPr>
        <sz val="10"/>
        <color indexed="8"/>
        <rFont val="Calibri"/>
        <family val="2"/>
      </rPr>
      <t>(чай, молоко)</t>
    </r>
  </si>
  <si>
    <r>
      <t xml:space="preserve">Щи из св. капусты с мясом со сметаной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подсолнечное, соль йодир., сметана 15%)</t>
    </r>
  </si>
  <si>
    <r>
      <t>Картофельное пюре</t>
    </r>
    <r>
      <rPr>
        <sz val="10"/>
        <color indexed="8"/>
        <rFont val="Calibri"/>
        <family val="2"/>
      </rPr>
      <t xml:space="preserve"> (картофель, молоко 3,2%, масло сливочное 72,5%, соль йодир.)</t>
    </r>
  </si>
  <si>
    <r>
      <t xml:space="preserve">Компот из  плодов суш. </t>
    </r>
    <r>
      <rPr>
        <sz val="10"/>
        <color indexed="8"/>
        <rFont val="Calibri"/>
        <family val="2"/>
      </rPr>
      <t>(смесь сухофруктов, сахар, лимонная кислота)</t>
    </r>
  </si>
  <si>
    <r>
      <t xml:space="preserve">Каша ячневая молочная жидкая </t>
    </r>
    <r>
      <rPr>
        <sz val="10"/>
        <color indexed="8"/>
        <rFont val="Calibri"/>
        <family val="2"/>
      </rPr>
      <t>(крупа ячневая, молоко 3,2%, сахар, соль йодир.)</t>
    </r>
  </si>
  <si>
    <r>
      <t xml:space="preserve">Борщ с капустой и картофелем со сметаной с мясом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подсолн., соль йодир, сметана 15%)</t>
    </r>
  </si>
  <si>
    <r>
      <t xml:space="preserve">Макаронные изделия отварные </t>
    </r>
    <r>
      <rPr>
        <sz val="10"/>
        <color indexed="8"/>
        <rFont val="Calibri"/>
        <family val="2"/>
      </rPr>
      <t>(макаронные изделия, масло сливочное 72,5%)</t>
    </r>
  </si>
  <si>
    <r>
      <t>Суп крестьянский с курой и рисом</t>
    </r>
    <r>
      <rPr>
        <sz val="10"/>
        <color indexed="8"/>
        <rFont val="Calibri"/>
        <family val="2"/>
      </rPr>
      <t xml:space="preserve"> (филе курицы, картофель, крупа рисовая, морковь, лук репч., томат паста, масло раст., соль йод.)</t>
    </r>
  </si>
  <si>
    <r>
      <t xml:space="preserve">Омлет запеченный с сыром </t>
    </r>
    <r>
      <rPr>
        <sz val="10"/>
        <color indexed="8"/>
        <rFont val="Calibri"/>
        <family val="2"/>
      </rPr>
      <t>(яйца, молоко 3,2%, сыр Российский, сливочное масло 72,5%, соль йодир.)</t>
    </r>
  </si>
  <si>
    <r>
      <t xml:space="preserve">Рассольник Ленинградский с мясом со сметаной </t>
    </r>
    <r>
      <rPr>
        <sz val="10"/>
        <color indexed="8"/>
        <rFont val="Calibri"/>
        <family val="2"/>
      </rPr>
      <t>(говядина 1 кат, крупа перловая, лук репч., огурцы консерв., масло подсолн., соль йодир., картофель, морковь, сметана 15%)</t>
    </r>
  </si>
  <si>
    <r>
      <t xml:space="preserve">Печень, тушеная в соусе </t>
    </r>
    <r>
      <rPr>
        <sz val="10"/>
        <color indexed="8"/>
        <rFont val="Calibri"/>
        <family val="2"/>
      </rPr>
      <t>(печень говяжья, мука пшеничная, масло подсолнечное, чеснок, сметана 15%, томатная паста, соль йодир.)</t>
    </r>
  </si>
  <si>
    <r>
      <t>Суп картофельный с рыбными фрикадельками</t>
    </r>
    <r>
      <rPr>
        <sz val="10"/>
        <color indexed="8"/>
        <rFont val="Calibri"/>
        <family val="2"/>
      </rPr>
      <t xml:space="preserve"> (треска, картофель, лук репчатый, морковь, масло сливочное)</t>
    </r>
  </si>
  <si>
    <r>
      <t xml:space="preserve">Суп  картофельный с бобовыми с курицей </t>
    </r>
    <r>
      <rPr>
        <sz val="10"/>
        <color indexed="8"/>
        <rFont val="Calibri"/>
        <family val="2"/>
      </rPr>
      <t>(курица, картофель, горох, морковь, лук репч., масло подсолнечное, соль йодир.)</t>
    </r>
  </si>
  <si>
    <r>
      <t xml:space="preserve">Плов из говядины </t>
    </r>
    <r>
      <rPr>
        <sz val="10"/>
        <color indexed="8"/>
        <rFont val="Calibri"/>
        <family val="2"/>
      </rPr>
      <t>(говядина, крупа рисовая, морковь, лук репчатый, масло подсолнеч., соль йодир.)</t>
    </r>
  </si>
  <si>
    <r>
      <t xml:space="preserve">Каша кукурузная жидкая </t>
    </r>
    <r>
      <rPr>
        <sz val="10"/>
        <color indexed="8"/>
        <rFont val="Calibri"/>
        <family val="2"/>
      </rPr>
      <t>(крупа кукурузная, молоко 3,2%, сахар, соль йодир.)</t>
    </r>
  </si>
  <si>
    <r>
      <t>Суп овощной на курином бульоне со сметаной</t>
    </r>
    <r>
      <rPr>
        <sz val="10"/>
        <color indexed="8"/>
        <rFont val="Calibri"/>
        <family val="2"/>
      </rPr>
      <t xml:space="preserve"> (куры 1кат., капуста белокочанная, картофель, масло растительное, морковь, лук репчатый, зеленый горошек консервированный, соль йодированная, сметана 15%)</t>
    </r>
  </si>
  <si>
    <r>
      <t xml:space="preserve">Компот из свежих яблок </t>
    </r>
    <r>
      <rPr>
        <sz val="10"/>
        <color indexed="8"/>
        <rFont val="Calibri"/>
        <family val="2"/>
      </rPr>
      <t>(яблоки, сахар, лимон. кислота)</t>
    </r>
  </si>
  <si>
    <r>
      <t xml:space="preserve">Запеканка картофельная с мясом </t>
    </r>
    <r>
      <rPr>
        <sz val="10"/>
        <color indexed="8"/>
        <rFont val="Calibri"/>
        <family val="2"/>
      </rPr>
      <t>(говядина 1 кат., картофель, лук репчатый, масло подсолн., молоко 3,2%, яйца, соль йодир.)</t>
    </r>
  </si>
  <si>
    <r>
      <t>Каша жидкая  из овсяных хлопьев «Геркулес»</t>
    </r>
    <r>
      <rPr>
        <sz val="10"/>
        <color indexed="8"/>
        <rFont val="Calibri"/>
        <family val="2"/>
      </rPr>
      <t xml:space="preserve"> (крупа овсяная Геркулес,  молоко 3,2%, сахар-песок, соль йодир.) </t>
    </r>
  </si>
  <si>
    <r>
      <t xml:space="preserve">Бутерброд с маслом, с сыром </t>
    </r>
    <r>
      <rPr>
        <sz val="10"/>
        <color indexed="8"/>
        <rFont val="Calibri"/>
        <family val="2"/>
      </rPr>
      <t>(батон, масло сливочное, сыр российский)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</si>
  <si>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 3,2%, сахар)</t>
    </r>
  </si>
  <si>
    <r>
      <t xml:space="preserve">Гарнир каша гречневая рассыпчатая </t>
    </r>
    <r>
      <rPr>
        <sz val="10"/>
        <color indexed="8"/>
        <rFont val="Calibri"/>
        <family val="2"/>
      </rPr>
      <t>(крупа кречневая, масло сливочное 72,5%, соль йодир.)</t>
    </r>
  </si>
  <si>
    <r>
      <t xml:space="preserve">Чай с сахаром </t>
    </r>
    <r>
      <rPr>
        <sz val="10"/>
        <color indexed="8"/>
        <rFont val="Calibri"/>
        <family val="2"/>
      </rPr>
      <t>(чай-заварка, сахар)</t>
    </r>
  </si>
  <si>
    <r>
      <t xml:space="preserve">Чай с молоком </t>
    </r>
    <r>
      <rPr>
        <sz val="10"/>
        <color indexed="8"/>
        <rFont val="Calibri"/>
        <family val="2"/>
      </rPr>
      <t>(чай, молоко)</t>
    </r>
  </si>
  <si>
    <r>
      <t xml:space="preserve">Щи из св. капусты с мясом со сметаной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подсолнечное, соль йодир., сметана 15%)</t>
    </r>
  </si>
  <si>
    <r>
      <t>Картофельное пюре</t>
    </r>
    <r>
      <rPr>
        <sz val="10"/>
        <color indexed="8"/>
        <rFont val="Calibri"/>
        <family val="2"/>
      </rPr>
      <t xml:space="preserve"> (картофель, молоко 3,2%, масло сливочное 72,5%, соль йодир.)</t>
    </r>
  </si>
  <si>
    <r>
      <t xml:space="preserve">Компот из  плодов суш. </t>
    </r>
    <r>
      <rPr>
        <sz val="10"/>
        <color indexed="8"/>
        <rFont val="Calibri"/>
        <family val="2"/>
      </rPr>
      <t>(смесь сухофруктов, сахар, лимонная кислота)</t>
    </r>
  </si>
  <si>
    <r>
      <t xml:space="preserve">Каша ячневая молочная жидкая </t>
    </r>
    <r>
      <rPr>
        <sz val="10"/>
        <color indexed="8"/>
        <rFont val="Calibri"/>
        <family val="2"/>
      </rPr>
      <t>(крупа ячневая, молоко 3,2%, сахар, соль йодир.)</t>
    </r>
  </si>
  <si>
    <r>
      <t xml:space="preserve">Борщ с капустой и картофелем со сметаной с мясом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подсолн., соль йодир, сметана 15%)</t>
    </r>
  </si>
  <si>
    <r>
      <t xml:space="preserve">Макаронные изделия отварные </t>
    </r>
    <r>
      <rPr>
        <sz val="10"/>
        <color indexed="8"/>
        <rFont val="Calibri"/>
        <family val="2"/>
      </rPr>
      <t>(макаронные изделия, масло сливочное 72,5%)</t>
    </r>
  </si>
  <si>
    <r>
      <t>Суп крестьянский с курой и рисом</t>
    </r>
    <r>
      <rPr>
        <sz val="10"/>
        <color indexed="8"/>
        <rFont val="Calibri"/>
        <family val="2"/>
      </rPr>
      <t xml:space="preserve"> (филе курицы, картофель, крупа рисовая, морковь, лук репч., томат паста, масло раст., соль йод.)</t>
    </r>
  </si>
  <si>
    <r>
      <t xml:space="preserve">Омлет запеченный с сыром </t>
    </r>
    <r>
      <rPr>
        <sz val="10"/>
        <color indexed="8"/>
        <rFont val="Calibri"/>
        <family val="2"/>
      </rPr>
      <t>(яйца, молоко 3,2%, сыр Российский, сливочное масло 72,5%, соль йодир.)</t>
    </r>
  </si>
  <si>
    <r>
      <t xml:space="preserve">Каша ДРУЖБА </t>
    </r>
    <r>
      <rPr>
        <sz val="10"/>
        <color indexed="8"/>
        <rFont val="Calibri"/>
        <family val="2"/>
      </rPr>
      <t>(крупа рисовая, пшено, молоко, сахар-песок, соль йод.)</t>
    </r>
  </si>
  <si>
    <r>
      <t xml:space="preserve">Рассольник Ленинградский с мясом со сметаной </t>
    </r>
    <r>
      <rPr>
        <sz val="10"/>
        <color indexed="8"/>
        <rFont val="Calibri"/>
        <family val="2"/>
      </rPr>
      <t>(говядина 1 кат, крупа перловая, лук репч., огурцы консерв., масло подсолн., соль йодир., картофель, морковь, сметана 15%)</t>
    </r>
  </si>
  <si>
    <r>
      <t xml:space="preserve">Печень, тушеная в соусе </t>
    </r>
    <r>
      <rPr>
        <sz val="10"/>
        <color indexed="8"/>
        <rFont val="Calibri"/>
        <family val="2"/>
      </rPr>
      <t>(печень говяжья, мука пшеничная, масло подсолнечное, чеснок, сметана 15%, томатная паста, соль йодир.)</t>
    </r>
  </si>
  <si>
    <r>
      <t xml:space="preserve">Суп  картофельный с бобовыми с курицей </t>
    </r>
    <r>
      <rPr>
        <sz val="10"/>
        <color indexed="8"/>
        <rFont val="Calibri"/>
        <family val="2"/>
      </rPr>
      <t>(курица, картофель, горох, морковь, лук репч., масло подсолнечное, соль йодир.)</t>
    </r>
  </si>
  <si>
    <r>
      <t xml:space="preserve">1-3 лет 1260 ккал диапазон </t>
    </r>
    <r>
      <rPr>
        <b/>
        <sz val="12"/>
        <color indexed="8"/>
        <rFont val="Calibri"/>
        <family val="2"/>
      </rPr>
      <t>±5 (1197 – 1323)</t>
    </r>
  </si>
  <si>
    <r>
      <t xml:space="preserve">Допускается в течение дня отступление от норм калорийности по отдельным приемам пищи в пределах +/-5% </t>
    </r>
    <r>
      <rPr>
        <sz val="10"/>
        <color indexed="8"/>
        <rFont val="Calibri"/>
        <family val="2"/>
      </rPr>
      <t>при условии, что средний % пищевой ценности за неделю будет соответствовать нормам, по каждому приему пищи.</t>
    </r>
  </si>
  <si>
    <t>ТК 375</t>
  </si>
  <si>
    <t>ТК №585</t>
  </si>
  <si>
    <t>Биточки рыбные (треска, хлеб пшеничный, молоко, соль йодированная, масло подсолнечное)</t>
  </si>
  <si>
    <t>ТК №255</t>
  </si>
  <si>
    <t>Тефтели из говядины (говядина, хлеб пшеничный, лук репчатый, яйцо, соль йодир)</t>
  </si>
  <si>
    <t>ТК №394</t>
  </si>
  <si>
    <r>
      <t xml:space="preserve">Суп  картофельный с рыбой </t>
    </r>
    <r>
      <rPr>
        <sz val="10"/>
        <color indexed="8"/>
        <rFont val="Calibri"/>
        <family val="2"/>
      </rPr>
      <t>(треска, картофель, морковь, лук репч., масло подсолнечное, соль йодир.)</t>
    </r>
  </si>
  <si>
    <t>ТК №136</t>
  </si>
  <si>
    <t>ТК №111/627</t>
  </si>
  <si>
    <r>
      <t>Суп картофельный с рыбными фрикадельками</t>
    </r>
    <r>
      <rPr>
        <sz val="10"/>
        <color indexed="8"/>
        <rFont val="Calibri"/>
        <family val="2"/>
      </rPr>
      <t xml:space="preserve"> (треска, картофель, лук репчатый, морковь, масло сливочное)</t>
    </r>
  </si>
  <si>
    <t>ТК №10</t>
  </si>
  <si>
    <t>ТК № 10</t>
  </si>
  <si>
    <r>
      <t xml:space="preserve">Каша молочная пшеничная </t>
    </r>
    <r>
      <rPr>
        <sz val="10"/>
        <color indexed="8"/>
        <rFont val="Calibri"/>
        <family val="2"/>
      </rPr>
      <t>(крупа пшеничная, молоко 3,2%, соль йодир.)</t>
    </r>
  </si>
  <si>
    <r>
      <t xml:space="preserve">Каша молочная пшеничная </t>
    </r>
    <r>
      <rPr>
        <sz val="10"/>
        <color indexed="8"/>
        <rFont val="Calibri"/>
        <family val="2"/>
      </rPr>
      <t>(крупа пшеничная, молоко 3,2%, соль йодир.)</t>
    </r>
  </si>
  <si>
    <r>
      <t xml:space="preserve">Каша манная молочная </t>
    </r>
    <r>
      <rPr>
        <sz val="10"/>
        <color indexed="8"/>
        <rFont val="Calibri"/>
        <family val="2"/>
      </rPr>
      <t>(крупа манная, молоко 3,2%, соль йодир., сахар)</t>
    </r>
  </si>
  <si>
    <r>
      <t xml:space="preserve">Каша ДРУЖБА с маслом сливочным </t>
    </r>
    <r>
      <rPr>
        <sz val="10"/>
        <color indexed="8"/>
        <rFont val="Calibri"/>
        <family val="2"/>
      </rPr>
      <t>(крупа рисовая, пшено, молоко 3,2%, сахар-песок, соль йод., масло сливочное 72,5%) 160/5</t>
    </r>
  </si>
  <si>
    <r>
      <t xml:space="preserve">Суп молочный с макаронными изделиями </t>
    </r>
    <r>
      <rPr>
        <sz val="10"/>
        <color indexed="8"/>
        <rFont val="Calibri"/>
        <family val="2"/>
      </rPr>
      <t>(молоко 3,2%, вермишель, масло сливочное 72,5%, сахар)</t>
    </r>
  </si>
  <si>
    <r>
      <t xml:space="preserve">Суп молочный с макаронными изделиями </t>
    </r>
    <r>
      <rPr>
        <sz val="10"/>
        <color indexed="8"/>
        <rFont val="Calibri"/>
        <family val="2"/>
      </rPr>
      <t>(молоко 3,2%, вермишель, масло сливочное 72,5%, сахар)</t>
    </r>
  </si>
  <si>
    <r>
      <t xml:space="preserve">Каша манная молочная </t>
    </r>
    <r>
      <rPr>
        <sz val="10"/>
        <color indexed="8"/>
        <rFont val="Calibri"/>
        <family val="2"/>
      </rPr>
      <t>(крупа манная, молоко 3,2%, соль йодир., сахар)</t>
    </r>
  </si>
  <si>
    <t xml:space="preserve">Закуска порционная (Кукуруза консерв.) </t>
  </si>
  <si>
    <t>Салат из свеклы (свекла, масло растительное)</t>
  </si>
  <si>
    <t>Свекольник с яйцом, со сметаной (1/2 яйца, свекла,картофель, морковь, лук репч., яйцо,томат паста, масло раст., соль йодир., сметана)</t>
  </si>
  <si>
    <t>Голубцы ленивые (капуста белокочанная, крупа рисовая, говядина, масло подсолнечное, мука пшеничная, соль йодированная)</t>
  </si>
  <si>
    <t>Ватрушка с повидлом (мука пшеничная, сахар-песок, масло сливочное, яйцо куриное, соль йодированная, дрожжи прессованные, повидло)</t>
  </si>
  <si>
    <t>Сырники запеченные с вареньем (творог 9%, яйца, мука пшеничная, сахар-песок, масло растительное, варенье)</t>
  </si>
  <si>
    <t>Запеканка из творога с повидлом (творог 9%, яйца, мука пшеничная или крупа манная, сахар – песок, сухари панировочные, сметана, масло сливочное, повидло)</t>
  </si>
  <si>
    <r>
      <t xml:space="preserve">Пудинг из творога (запечённый) </t>
    </r>
    <r>
      <rPr>
        <sz val="10"/>
        <color indexed="8"/>
        <rFont val="Calibri"/>
        <family val="2"/>
      </rPr>
      <t>(крупа манная, творог 9%, яйцо, сахар, ванилин, масло сливочное 72,5%, сметана 15%, изюм, сухари панировочные, молоко сгущенное)</t>
    </r>
  </si>
  <si>
    <r>
      <t xml:space="preserve">Пудинг из творога (запечённый) </t>
    </r>
    <r>
      <rPr>
        <sz val="10"/>
        <color indexed="8"/>
        <rFont val="Calibri"/>
        <family val="2"/>
      </rPr>
      <t>(крупа манная, творог 9%, яйцо, сахар, ванилин, масло сливочное 72,5%, сметана 15%, изюм, сухари панировочные, молоко сгущенное)</t>
    </r>
  </si>
  <si>
    <t>ТК№163</t>
  </si>
  <si>
    <t>ТК №216</t>
  </si>
  <si>
    <t>ТК № 171</t>
  </si>
  <si>
    <r>
      <t xml:space="preserve">Салат из квашенной капусты </t>
    </r>
    <r>
      <rPr>
        <sz val="10"/>
        <color indexed="8"/>
        <rFont val="Calibri"/>
        <family val="2"/>
      </rPr>
      <t>(квашенная капуста, лук репчатый, масло растительное)</t>
    </r>
  </si>
  <si>
    <t>огурец свежий порционно</t>
  </si>
  <si>
    <t>огурец свежий порционно(свежий огурец)</t>
  </si>
  <si>
    <t>помидор свежий порционно</t>
  </si>
  <si>
    <t>помидор свежий порционно (свежие помидоры)</t>
  </si>
  <si>
    <t>икра морковная(морковь,лук,подсолнечное масло)</t>
  </si>
  <si>
    <t>огурец соленый порционно (соленый огурец)</t>
  </si>
  <si>
    <t>салат из квашенной капусты (квашенная капуста,лук,подсолнечное масло)</t>
  </si>
  <si>
    <t>икра морковная,(морковь,лук,подсолнечное масло)</t>
  </si>
  <si>
    <t>огурец соленый</t>
  </si>
  <si>
    <t>________О.С.Волкова</t>
  </si>
  <si>
    <t>_________ О.С.Волкова</t>
  </si>
  <si>
    <t>Меню приготавливаемых блюд, в соответствии с СанПиН 2.3/2.4.3590-20 на период с 01.03.2024 г. по 14.06.2024 г.</t>
  </si>
  <si>
    <r>
      <t xml:space="preserve">Салат из вареной моркови </t>
    </r>
    <r>
      <rPr>
        <sz val="10"/>
        <color indexed="8"/>
        <rFont val="Calibri"/>
        <family val="2"/>
      </rPr>
      <t>( морковь, сладкая кукуруза, масло подсолнечное)</t>
    </r>
  </si>
  <si>
    <t>гуляш куриный (филе куриное,молоко, мука пшеничная, масло сливочное, соль йодированная)</t>
  </si>
  <si>
    <t>бефстроганов из говядины (говядина, молоко, лук репчатый, яйцо, соль йодир)</t>
  </si>
  <si>
    <t>винегрет овощной, 1/2 яйцо куриной вареное</t>
  </si>
  <si>
    <t>540</t>
  </si>
  <si>
    <t>195</t>
  </si>
  <si>
    <r>
      <t xml:space="preserve">Каша молочная рисовая </t>
    </r>
    <r>
      <rPr>
        <sz val="10"/>
        <color indexed="8"/>
        <rFont val="Calibri"/>
        <family val="2"/>
      </rPr>
      <t>(крупа рисовая, молоко, сахар, соль йодированная)</t>
    </r>
  </si>
  <si>
    <r>
      <t xml:space="preserve">котлета куриная </t>
    </r>
    <r>
      <rPr>
        <sz val="10"/>
        <color indexed="8"/>
        <rFont val="Calibri"/>
        <family val="2"/>
      </rPr>
      <t>(курица)</t>
    </r>
  </si>
  <si>
    <t xml:space="preserve">Фрукт </t>
  </si>
  <si>
    <t>томаты в собственном соку</t>
  </si>
  <si>
    <t>Каша пшенная молочная (крупа пшено, молоко 3,2%, сахар, соль йодированная)</t>
  </si>
  <si>
    <t>фрукт</t>
  </si>
  <si>
    <r>
      <t xml:space="preserve">биточки из говядины </t>
    </r>
    <r>
      <rPr>
        <sz val="10"/>
        <color indexed="8"/>
        <rFont val="Calibri"/>
        <family val="2"/>
      </rPr>
      <t>(говядина, морковь, лук репч., хлеб пшеничный, масло слив., соль йод.)</t>
    </r>
  </si>
  <si>
    <t>овощи тушеные (картофель, морковь, лук репчатый, капуста белокочанная, масло подсолнечное, чеснок, мука пшеничная, соль йодир.)</t>
  </si>
  <si>
    <t>Меню приготавливаемых блюд, в соответствии с СанПиН 2.3/2.4.3590-20 на период 01.03.2024 г.по 14.06.2024</t>
  </si>
  <si>
    <t>салат из вареной моркови (морковь, подсолнечное масло)</t>
  </si>
  <si>
    <t>гуляш куриный (филе куриное,  молоко, мука пшеничная, масло сливочное, соль йодированная)</t>
  </si>
  <si>
    <t>винегрет овощной, 1/2 яйцо вареное</t>
  </si>
  <si>
    <r>
      <t xml:space="preserve">Каша молочная рисовая  </t>
    </r>
    <r>
      <rPr>
        <sz val="10"/>
        <color indexed="8"/>
        <rFont val="Calibri"/>
        <family val="2"/>
      </rPr>
      <t>(крупа рисовая, молоко 3,2%,  сахар, соль йодированная)</t>
    </r>
  </si>
  <si>
    <r>
      <t xml:space="preserve">котлета куриная </t>
    </r>
    <r>
      <rPr>
        <sz val="10"/>
        <color indexed="8"/>
        <rFont val="Calibri"/>
        <family val="2"/>
      </rPr>
      <t>(курица)</t>
    </r>
  </si>
  <si>
    <t>тефтели рыбные (треска, хлеб пшеничный, соль йодированная, масло подсолнечное)</t>
  </si>
  <si>
    <t>тефтели  рыбные (треска, хлеб пшеничный, молоко, соль йодированная, масло подсолнечное)</t>
  </si>
  <si>
    <t>овощи тушеные (картофель, морковь, лук репчатый, капуста белокочанная, масло подсолнечное,  чеснок, мука пшеничная, соль йодир.)</t>
  </si>
  <si>
    <t>перловка отварная (крупа перловая, масло сливочное, соль йодированная)</t>
  </si>
  <si>
    <r>
      <t xml:space="preserve">биточки из говядины </t>
    </r>
    <r>
      <rPr>
        <sz val="10"/>
        <color indexed="8"/>
        <rFont val="Calibri"/>
        <family val="2"/>
      </rPr>
      <t>(говядина, морковь, лук репч.,  масло слив., соль йод.)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</si>
</sst>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"/>
    <numFmt numFmtId="181" formatCode="#,##0.00\ &quot;₽&quot;"/>
    <numFmt numFmtId="182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 val="single"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53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53" fillId="0" borderId="11" xfId="0" applyFont="1" applyFill="1" applyBorder="1" applyAlignment="1">
      <alignment/>
    </xf>
    <xf numFmtId="2" fontId="3" fillId="8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8" fillId="0" borderId="10" xfId="53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2" fontId="8" fillId="0" borderId="10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8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2" fontId="12" fillId="8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 shrinkToFi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0" fontId="55" fillId="0" borderId="10" xfId="0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/>
    </xf>
    <xf numFmtId="0" fontId="55" fillId="0" borderId="10" xfId="0" applyFont="1" applyBorder="1" applyAlignment="1">
      <alignment horizontal="center" vertical="center" wrapText="1"/>
    </xf>
    <xf numFmtId="9" fontId="55" fillId="0" borderId="13" xfId="0" applyNumberFormat="1" applyFont="1" applyBorder="1" applyAlignment="1">
      <alignment horizontal="center" vertical="center" wrapText="1"/>
    </xf>
    <xf numFmtId="9" fontId="55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 shrinkToFi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2" fontId="8" fillId="0" borderId="10" xfId="53" applyNumberFormat="1" applyFont="1" applyBorder="1" applyAlignment="1">
      <alignment horizontal="center" vertical="center"/>
      <protection/>
    </xf>
    <xf numFmtId="0" fontId="57" fillId="0" borderId="10" xfId="0" applyFont="1" applyBorder="1" applyAlignment="1">
      <alignment horizontal="justify" vertical="center"/>
    </xf>
    <xf numFmtId="0" fontId="55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2" fontId="12" fillId="8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/>
    </xf>
    <xf numFmtId="2" fontId="3" fillId="8" borderId="10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/>
    </xf>
    <xf numFmtId="0" fontId="58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9" fontId="55" fillId="0" borderId="14" xfId="0" applyNumberFormat="1" applyFont="1" applyBorder="1" applyAlignment="1">
      <alignment horizontal="center" vertical="center" wrapText="1"/>
    </xf>
    <xf numFmtId="9" fontId="55" fillId="0" borderId="13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left" vertical="top" wrapText="1"/>
    </xf>
    <xf numFmtId="0" fontId="57" fillId="37" borderId="21" xfId="0" applyFont="1" applyFill="1" applyBorder="1" applyAlignment="1">
      <alignment horizontal="left" vertical="top" wrapText="1"/>
    </xf>
    <xf numFmtId="0" fontId="57" fillId="37" borderId="17" xfId="0" applyFont="1" applyFill="1" applyBorder="1" applyAlignment="1">
      <alignment horizontal="left" vertical="top" wrapText="1"/>
    </xf>
    <xf numFmtId="0" fontId="57" fillId="37" borderId="18" xfId="0" applyFont="1" applyFill="1" applyBorder="1" applyAlignment="1">
      <alignment horizontal="left" vertical="top" wrapText="1"/>
    </xf>
    <xf numFmtId="0" fontId="56" fillId="8" borderId="11" xfId="0" applyFont="1" applyFill="1" applyBorder="1" applyAlignment="1">
      <alignment/>
    </xf>
    <xf numFmtId="0" fontId="56" fillId="8" borderId="12" xfId="0" applyFont="1" applyFill="1" applyBorder="1" applyAlignment="1">
      <alignment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36" borderId="11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9" fontId="55" fillId="0" borderId="10" xfId="0" applyNumberFormat="1" applyFont="1" applyBorder="1" applyAlignment="1">
      <alignment horizontal="center" vertical="center" wrapText="1"/>
    </xf>
    <xf numFmtId="0" fontId="56" fillId="8" borderId="11" xfId="0" applyFont="1" applyFill="1" applyBorder="1" applyAlignment="1">
      <alignment/>
    </xf>
    <xf numFmtId="0" fontId="56" fillId="8" borderId="12" xfId="0" applyFont="1" applyFill="1" applyBorder="1" applyAlignment="1">
      <alignment/>
    </xf>
    <xf numFmtId="0" fontId="57" fillId="37" borderId="11" xfId="0" applyFont="1" applyFill="1" applyBorder="1" applyAlignment="1">
      <alignment horizontal="left" vertical="top" wrapText="1"/>
    </xf>
    <xf numFmtId="0" fontId="57" fillId="37" borderId="19" xfId="0" applyFont="1" applyFill="1" applyBorder="1" applyAlignment="1">
      <alignment horizontal="left" vertical="top" wrapText="1"/>
    </xf>
    <xf numFmtId="0" fontId="57" fillId="37" borderId="12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horizontal="left" vertical="top"/>
    </xf>
    <xf numFmtId="0" fontId="56" fillId="0" borderId="11" xfId="0" applyFont="1" applyFill="1" applyBorder="1" applyAlignment="1">
      <alignment horizontal="left" vertical="top"/>
    </xf>
    <xf numFmtId="0" fontId="56" fillId="0" borderId="12" xfId="0" applyFont="1" applyFill="1" applyBorder="1" applyAlignment="1">
      <alignment horizontal="left" vertical="top"/>
    </xf>
    <xf numFmtId="0" fontId="53" fillId="0" borderId="11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="80" zoomScaleNormal="80" zoomScalePageLayoutView="0" workbookViewId="0" topLeftCell="A1">
      <selection activeCell="K202" sqref="K202"/>
    </sheetView>
  </sheetViews>
  <sheetFormatPr defaultColWidth="9.140625" defaultRowHeight="15"/>
  <cols>
    <col min="1" max="1" width="17.28125" style="125" customWidth="1"/>
    <col min="2" max="2" width="48.00390625" style="126" customWidth="1"/>
    <col min="3" max="3" width="11.57421875" style="125" bestFit="1" customWidth="1"/>
    <col min="4" max="6" width="10.140625" style="125" customWidth="1"/>
    <col min="7" max="7" width="11.57421875" style="125" customWidth="1"/>
    <col min="8" max="8" width="12.8515625" style="125" customWidth="1"/>
  </cols>
  <sheetData>
    <row r="1" spans="1:9" ht="15.75">
      <c r="A1" s="21"/>
      <c r="B1" s="99"/>
      <c r="C1" s="100"/>
      <c r="D1" s="101"/>
      <c r="E1" s="101"/>
      <c r="F1" s="101"/>
      <c r="G1" s="127" t="s">
        <v>20</v>
      </c>
      <c r="H1" s="128"/>
      <c r="I1" s="96"/>
    </row>
    <row r="2" spans="1:9" ht="15.75">
      <c r="A2" s="21"/>
      <c r="B2" s="99"/>
      <c r="C2" s="100"/>
      <c r="D2" s="101"/>
      <c r="E2" s="101"/>
      <c r="F2" s="101"/>
      <c r="G2" s="204" t="s">
        <v>128</v>
      </c>
      <c r="H2" s="205"/>
      <c r="I2" s="96"/>
    </row>
    <row r="3" spans="1:9" ht="15.75">
      <c r="A3" s="21"/>
      <c r="B3" s="99"/>
      <c r="C3" s="100"/>
      <c r="D3" s="101"/>
      <c r="E3" s="101"/>
      <c r="F3" s="101"/>
      <c r="G3" s="127" t="s">
        <v>283</v>
      </c>
      <c r="H3" s="128"/>
      <c r="I3" s="96"/>
    </row>
    <row r="4" spans="1:8" ht="15.75">
      <c r="A4" s="21"/>
      <c r="B4" s="99"/>
      <c r="C4" s="100"/>
      <c r="D4" s="101"/>
      <c r="E4" s="101"/>
      <c r="F4" s="101"/>
      <c r="G4" s="203"/>
      <c r="H4" s="27"/>
    </row>
    <row r="5" spans="1:8" ht="18.75">
      <c r="A5" s="206" t="s">
        <v>299</v>
      </c>
      <c r="B5" s="207"/>
      <c r="C5" s="207"/>
      <c r="D5" s="207"/>
      <c r="E5" s="207"/>
      <c r="F5" s="207"/>
      <c r="G5" s="207"/>
      <c r="H5" s="208"/>
    </row>
    <row r="6" spans="1:8" ht="15.75">
      <c r="A6" s="209" t="s">
        <v>62</v>
      </c>
      <c r="B6" s="209"/>
      <c r="C6" s="159"/>
      <c r="D6" s="97"/>
      <c r="E6" s="97"/>
      <c r="F6" s="97"/>
      <c r="G6" s="97"/>
      <c r="H6" s="160"/>
    </row>
    <row r="7" spans="1:8" ht="15.75">
      <c r="A7" s="210" t="s">
        <v>2</v>
      </c>
      <c r="B7" s="211" t="s">
        <v>0</v>
      </c>
      <c r="C7" s="210" t="s">
        <v>1</v>
      </c>
      <c r="D7" s="211" t="s">
        <v>3</v>
      </c>
      <c r="E7" s="211"/>
      <c r="F7" s="211"/>
      <c r="G7" s="2"/>
      <c r="H7" s="210" t="s">
        <v>7</v>
      </c>
    </row>
    <row r="8" spans="1:8" ht="15.75">
      <c r="A8" s="210"/>
      <c r="B8" s="211"/>
      <c r="C8" s="210"/>
      <c r="D8" s="4" t="s">
        <v>4</v>
      </c>
      <c r="E8" s="4" t="s">
        <v>5</v>
      </c>
      <c r="F8" s="4" t="s">
        <v>6</v>
      </c>
      <c r="G8" s="2" t="s">
        <v>45</v>
      </c>
      <c r="H8" s="210"/>
    </row>
    <row r="9" spans="1:8" ht="15.75">
      <c r="A9" s="212" t="s">
        <v>8</v>
      </c>
      <c r="B9" s="212"/>
      <c r="C9" s="212"/>
      <c r="D9" s="212"/>
      <c r="E9" s="212"/>
      <c r="F9" s="212"/>
      <c r="G9" s="212"/>
      <c r="H9" s="212"/>
    </row>
    <row r="10" spans="1:8" ht="15.75">
      <c r="A10" s="213" t="s">
        <v>30</v>
      </c>
      <c r="B10" s="213"/>
      <c r="C10" s="213"/>
      <c r="D10" s="213"/>
      <c r="E10" s="213"/>
      <c r="F10" s="213"/>
      <c r="G10" s="213"/>
      <c r="H10" s="213"/>
    </row>
    <row r="11" spans="1:8" ht="25.5">
      <c r="A11" s="210" t="s">
        <v>9</v>
      </c>
      <c r="B11" s="102" t="s">
        <v>217</v>
      </c>
      <c r="C11" s="161" t="s">
        <v>130</v>
      </c>
      <c r="D11" s="6">
        <f>4.662541*C11/130</f>
        <v>5.021198</v>
      </c>
      <c r="E11" s="6">
        <f>2.221648*C11/130</f>
        <v>2.3925440000000004</v>
      </c>
      <c r="F11" s="6">
        <f>29.896685*C11/130</f>
        <v>32.19643</v>
      </c>
      <c r="G11" s="6">
        <v>105</v>
      </c>
      <c r="H11" s="187" t="s">
        <v>269</v>
      </c>
    </row>
    <row r="12" spans="1:8" ht="15.75">
      <c r="A12" s="210"/>
      <c r="B12" s="103" t="s">
        <v>184</v>
      </c>
      <c r="C12" s="161" t="s">
        <v>84</v>
      </c>
      <c r="D12" s="6">
        <v>1.58</v>
      </c>
      <c r="E12" s="6">
        <v>7.83</v>
      </c>
      <c r="F12" s="6">
        <v>10.41</v>
      </c>
      <c r="G12" s="10">
        <v>118.5</v>
      </c>
      <c r="H12" s="162" t="s">
        <v>66</v>
      </c>
    </row>
    <row r="13" spans="1:8" ht="25.5">
      <c r="A13" s="210"/>
      <c r="B13" s="103" t="s">
        <v>185</v>
      </c>
      <c r="C13" s="33" t="s">
        <v>47</v>
      </c>
      <c r="D13" s="14">
        <f>1.62432*C13/150</f>
        <v>1.9491839999999998</v>
      </c>
      <c r="E13" s="14">
        <f>1.66144*C13/150</f>
        <v>1.9937280000000002</v>
      </c>
      <c r="F13" s="14">
        <f>9.03266*C13/150</f>
        <v>10.839191999999999</v>
      </c>
      <c r="G13" s="14">
        <f>57.58088*C13/150</f>
        <v>69.097056</v>
      </c>
      <c r="H13" s="109" t="s">
        <v>129</v>
      </c>
    </row>
    <row r="14" spans="1:8" ht="15.75">
      <c r="A14" s="214" t="s">
        <v>10</v>
      </c>
      <c r="B14" s="214"/>
      <c r="C14" s="163" t="s">
        <v>52</v>
      </c>
      <c r="D14" s="8">
        <f>SUM(D11:D13)</f>
        <v>8.550381999999999</v>
      </c>
      <c r="E14" s="8">
        <f>SUM(E11:E13)</f>
        <v>12.216272000000002</v>
      </c>
      <c r="F14" s="8">
        <f>SUM(F11:F13)</f>
        <v>53.445622</v>
      </c>
      <c r="G14" s="8">
        <f>SUM(G11:G13)</f>
        <v>292.597056</v>
      </c>
      <c r="H14" s="162"/>
    </row>
    <row r="15" spans="1:8" ht="15.75">
      <c r="A15" s="164" t="s">
        <v>38</v>
      </c>
      <c r="B15" s="104" t="s">
        <v>41</v>
      </c>
      <c r="C15" s="2">
        <v>150</v>
      </c>
      <c r="D15" s="9">
        <v>0.75</v>
      </c>
      <c r="E15" s="9">
        <v>0.15</v>
      </c>
      <c r="F15" s="9">
        <v>15.15</v>
      </c>
      <c r="G15" s="9">
        <v>69</v>
      </c>
      <c r="H15" s="162" t="s">
        <v>54</v>
      </c>
    </row>
    <row r="16" spans="1:8" ht="44.25" customHeight="1">
      <c r="A16" s="211" t="s">
        <v>11</v>
      </c>
      <c r="B16" s="105" t="s">
        <v>300</v>
      </c>
      <c r="C16" s="3">
        <v>30</v>
      </c>
      <c r="D16" s="6">
        <v>0.5533845000000002</v>
      </c>
      <c r="E16" s="6">
        <v>1.4412174000000002</v>
      </c>
      <c r="F16" s="6">
        <v>2.8616133</v>
      </c>
      <c r="G16" s="6">
        <v>26.6</v>
      </c>
      <c r="H16" s="165" t="s">
        <v>120</v>
      </c>
    </row>
    <row r="17" spans="1:8" ht="51">
      <c r="A17" s="211"/>
      <c r="B17" s="102" t="s">
        <v>218</v>
      </c>
      <c r="C17" s="166" t="s">
        <v>46</v>
      </c>
      <c r="D17" s="6">
        <v>3.648313</v>
      </c>
      <c r="E17" s="6">
        <v>6.668752</v>
      </c>
      <c r="F17" s="6">
        <v>6.413774999999999</v>
      </c>
      <c r="G17" s="6">
        <v>100</v>
      </c>
      <c r="H17" s="162" t="s">
        <v>132</v>
      </c>
    </row>
    <row r="18" spans="1:8" ht="25.5">
      <c r="A18" s="211"/>
      <c r="B18" s="102" t="s">
        <v>301</v>
      </c>
      <c r="C18" s="26">
        <v>50</v>
      </c>
      <c r="D18" s="35">
        <v>7.382346400000001</v>
      </c>
      <c r="E18" s="35">
        <v>8.946493599999998</v>
      </c>
      <c r="F18" s="35">
        <v>1.6575650000000002</v>
      </c>
      <c r="G18" s="35">
        <v>116.67808799999999</v>
      </c>
      <c r="H18" s="109" t="s">
        <v>126</v>
      </c>
    </row>
    <row r="19" spans="1:8" ht="25.5">
      <c r="A19" s="211"/>
      <c r="B19" s="103" t="s">
        <v>186</v>
      </c>
      <c r="C19" s="1">
        <v>110</v>
      </c>
      <c r="D19" s="7">
        <v>2.612918000000001</v>
      </c>
      <c r="E19" s="7">
        <v>2.8018760000000005</v>
      </c>
      <c r="F19" s="7">
        <v>26.4899635</v>
      </c>
      <c r="G19" s="7">
        <v>133</v>
      </c>
      <c r="H19" s="162" t="s">
        <v>125</v>
      </c>
    </row>
    <row r="20" spans="1:8" ht="15.75">
      <c r="A20" s="211"/>
      <c r="B20" s="103" t="s">
        <v>12</v>
      </c>
      <c r="C20" s="3">
        <v>20</v>
      </c>
      <c r="D20" s="6">
        <f>1.32*C20/20</f>
        <v>1.32</v>
      </c>
      <c r="E20" s="6">
        <f>0.22*C20/20</f>
        <v>0.22000000000000003</v>
      </c>
      <c r="F20" s="6">
        <f>8.2*C20/20</f>
        <v>8.2</v>
      </c>
      <c r="G20" s="7">
        <f>40*C20/20</f>
        <v>40</v>
      </c>
      <c r="H20" s="162" t="s">
        <v>59</v>
      </c>
    </row>
    <row r="21" spans="1:8" ht="15.75">
      <c r="A21" s="211"/>
      <c r="B21" s="103" t="s">
        <v>40</v>
      </c>
      <c r="C21" s="166">
        <v>20</v>
      </c>
      <c r="D21" s="6">
        <f>2.28*C21/30</f>
        <v>1.5199999999999998</v>
      </c>
      <c r="E21" s="6">
        <f>0.24*C21/30</f>
        <v>0.16</v>
      </c>
      <c r="F21" s="6">
        <f>14.76*C21/30</f>
        <v>9.84</v>
      </c>
      <c r="G21" s="6">
        <f>70.5*C21/30</f>
        <v>47</v>
      </c>
      <c r="H21" s="162" t="s">
        <v>58</v>
      </c>
    </row>
    <row r="22" spans="1:8" ht="25.5">
      <c r="A22" s="211"/>
      <c r="B22" s="106" t="s">
        <v>219</v>
      </c>
      <c r="C22" s="3">
        <v>150</v>
      </c>
      <c r="D22" s="6">
        <v>0.11</v>
      </c>
      <c r="E22" s="6">
        <v>0.11</v>
      </c>
      <c r="F22" s="6">
        <v>11.75</v>
      </c>
      <c r="G22" s="6">
        <v>48.5</v>
      </c>
      <c r="H22" s="162" t="s">
        <v>72</v>
      </c>
    </row>
    <row r="23" spans="1:8" ht="15.75">
      <c r="A23" s="214" t="s">
        <v>13</v>
      </c>
      <c r="B23" s="214"/>
      <c r="C23" s="167">
        <v>550</v>
      </c>
      <c r="D23" s="12">
        <f>SUM(D16:D22)</f>
        <v>17.1469619</v>
      </c>
      <c r="E23" s="12">
        <f>SUM(E16:E22)</f>
        <v>20.348339</v>
      </c>
      <c r="F23" s="12">
        <f>SUM(F16:F22)</f>
        <v>67.2129168</v>
      </c>
      <c r="G23" s="12">
        <f>SUM(G16:G22)</f>
        <v>511.77808799999997</v>
      </c>
      <c r="H23" s="162"/>
    </row>
    <row r="24" spans="1:8" ht="39">
      <c r="A24" s="210" t="s">
        <v>109</v>
      </c>
      <c r="B24" s="107" t="s">
        <v>220</v>
      </c>
      <c r="C24" s="32">
        <v>160</v>
      </c>
      <c r="D24" s="14">
        <v>14.2</v>
      </c>
      <c r="E24" s="14">
        <v>11.49</v>
      </c>
      <c r="F24" s="14">
        <v>13.81</v>
      </c>
      <c r="G24" s="14">
        <v>215.49</v>
      </c>
      <c r="H24" s="32" t="s">
        <v>127</v>
      </c>
    </row>
    <row r="25" spans="1:8" ht="15.75">
      <c r="A25" s="210"/>
      <c r="B25" s="103" t="s">
        <v>40</v>
      </c>
      <c r="C25" s="166">
        <v>15</v>
      </c>
      <c r="D25" s="6">
        <f>2.28*C25/30</f>
        <v>1.14</v>
      </c>
      <c r="E25" s="6">
        <f>0.24*C25/30</f>
        <v>0.11999999999999998</v>
      </c>
      <c r="F25" s="6">
        <f>14.76*C25/30</f>
        <v>7.38</v>
      </c>
      <c r="G25" s="6">
        <f>70.5*C25/30</f>
        <v>35.25</v>
      </c>
      <c r="H25" s="162" t="s">
        <v>58</v>
      </c>
    </row>
    <row r="26" spans="1:8" ht="15.75">
      <c r="A26" s="210"/>
      <c r="B26" s="103" t="s">
        <v>12</v>
      </c>
      <c r="C26" s="3">
        <v>15</v>
      </c>
      <c r="D26" s="6">
        <v>1.32</v>
      </c>
      <c r="E26" s="6">
        <v>0.22</v>
      </c>
      <c r="F26" s="6">
        <v>8.2</v>
      </c>
      <c r="G26" s="7">
        <v>40</v>
      </c>
      <c r="H26" s="162" t="s">
        <v>59</v>
      </c>
    </row>
    <row r="27" spans="1:8" ht="15.75">
      <c r="A27" s="210"/>
      <c r="B27" s="102" t="s">
        <v>131</v>
      </c>
      <c r="C27" s="3">
        <v>150</v>
      </c>
      <c r="D27" s="6">
        <v>4.35</v>
      </c>
      <c r="E27" s="6">
        <v>4.8</v>
      </c>
      <c r="F27" s="6">
        <v>7.05</v>
      </c>
      <c r="G27" s="7">
        <v>90</v>
      </c>
      <c r="H27" s="162" t="s">
        <v>61</v>
      </c>
    </row>
    <row r="28" spans="1:8" ht="15.75">
      <c r="A28" s="210"/>
      <c r="B28" s="103" t="s">
        <v>116</v>
      </c>
      <c r="C28" s="166">
        <v>11</v>
      </c>
      <c r="D28" s="6">
        <v>0.8</v>
      </c>
      <c r="E28" s="6">
        <v>2.1</v>
      </c>
      <c r="F28" s="6">
        <v>7.5</v>
      </c>
      <c r="G28" s="6">
        <v>52</v>
      </c>
      <c r="H28" s="162" t="s">
        <v>117</v>
      </c>
    </row>
    <row r="29" spans="1:8" ht="15.75">
      <c r="A29" s="212" t="s">
        <v>110</v>
      </c>
      <c r="B29" s="212"/>
      <c r="C29" s="4">
        <v>351</v>
      </c>
      <c r="D29" s="13">
        <f>SUM(D24:D28)</f>
        <v>21.81</v>
      </c>
      <c r="E29" s="13">
        <f>SUM(E24:E28)</f>
        <v>18.73</v>
      </c>
      <c r="F29" s="13">
        <f>SUM(F24:F28)</f>
        <v>43.94</v>
      </c>
      <c r="G29" s="13">
        <f>SUM(G24:G28)</f>
        <v>432.74</v>
      </c>
      <c r="H29" s="162"/>
    </row>
    <row r="30" spans="1:8" ht="15.75">
      <c r="A30" s="215" t="s">
        <v>14</v>
      </c>
      <c r="B30" s="215"/>
      <c r="C30" s="17">
        <f>C14+C15+C23+C29</f>
        <v>1401</v>
      </c>
      <c r="D30" s="17">
        <f>D14+D15+D23+D29</f>
        <v>48.257343899999995</v>
      </c>
      <c r="E30" s="17">
        <f>E14+E15+E23+E29</f>
        <v>51.44461100000001</v>
      </c>
      <c r="F30" s="17">
        <f>F14+F15+F23+F29</f>
        <v>179.7485388</v>
      </c>
      <c r="G30" s="17">
        <f>G14+G15+G23+G29</f>
        <v>1306.1151439999999</v>
      </c>
      <c r="H30" s="168"/>
    </row>
    <row r="31" spans="1:8" ht="15.75">
      <c r="A31" s="213" t="s">
        <v>31</v>
      </c>
      <c r="B31" s="213"/>
      <c r="C31" s="213"/>
      <c r="D31" s="213"/>
      <c r="E31" s="213"/>
      <c r="F31" s="213"/>
      <c r="G31" s="213"/>
      <c r="H31" s="213"/>
    </row>
    <row r="32" spans="1:8" ht="39" customHeight="1">
      <c r="A32" s="211" t="s">
        <v>9</v>
      </c>
      <c r="B32" s="102" t="s">
        <v>221</v>
      </c>
      <c r="C32" s="32">
        <v>135</v>
      </c>
      <c r="D32" s="14">
        <f>4.961884*C32/155</f>
        <v>4.321640903225807</v>
      </c>
      <c r="E32" s="14">
        <f>3.065216*C32/155</f>
        <v>2.669704258064516</v>
      </c>
      <c r="F32" s="14">
        <f>19.133478*C32/155</f>
        <v>16.66464212903226</v>
      </c>
      <c r="G32" s="195">
        <v>92</v>
      </c>
      <c r="H32" s="169" t="s">
        <v>133</v>
      </c>
    </row>
    <row r="33" spans="1:8" ht="25.5">
      <c r="A33" s="211"/>
      <c r="B33" s="102" t="s">
        <v>222</v>
      </c>
      <c r="C33" s="170" t="s">
        <v>134</v>
      </c>
      <c r="D33" s="7">
        <v>4.359999999999999</v>
      </c>
      <c r="E33" s="7">
        <v>7.375</v>
      </c>
      <c r="F33" s="7">
        <v>14.665</v>
      </c>
      <c r="G33" s="7">
        <v>138</v>
      </c>
      <c r="H33" s="165" t="s">
        <v>51</v>
      </c>
    </row>
    <row r="34" spans="1:8" ht="15.75">
      <c r="A34" s="211"/>
      <c r="B34" s="102" t="s">
        <v>223</v>
      </c>
      <c r="C34" s="3">
        <v>180</v>
      </c>
      <c r="D34" s="7">
        <v>2.46</v>
      </c>
      <c r="E34" s="7">
        <v>1.86</v>
      </c>
      <c r="F34" s="7">
        <v>11.94</v>
      </c>
      <c r="G34" s="7">
        <v>64</v>
      </c>
      <c r="H34" s="165" t="s">
        <v>78</v>
      </c>
    </row>
    <row r="35" spans="1:8" ht="15.75">
      <c r="A35" s="214" t="s">
        <v>10</v>
      </c>
      <c r="B35" s="214"/>
      <c r="C35" s="2">
        <v>350</v>
      </c>
      <c r="D35" s="8">
        <f>D32+D33+D34</f>
        <v>11.141640903225806</v>
      </c>
      <c r="E35" s="8">
        <f>E32+E33+E34</f>
        <v>11.904704258064516</v>
      </c>
      <c r="F35" s="8">
        <f>F32+F33+F34</f>
        <v>43.269642129032256</v>
      </c>
      <c r="G35" s="8">
        <f>G32+G33+G34</f>
        <v>294</v>
      </c>
      <c r="H35" s="162"/>
    </row>
    <row r="36" spans="1:8" ht="15.75">
      <c r="A36" s="98" t="s">
        <v>38</v>
      </c>
      <c r="B36" s="104" t="s">
        <v>41</v>
      </c>
      <c r="C36" s="2">
        <v>150</v>
      </c>
      <c r="D36" s="9">
        <v>0.75</v>
      </c>
      <c r="E36" s="9">
        <v>0.15</v>
      </c>
      <c r="F36" s="9">
        <v>15.15</v>
      </c>
      <c r="G36" s="9">
        <v>69</v>
      </c>
      <c r="H36" s="162" t="s">
        <v>54</v>
      </c>
    </row>
    <row r="37" spans="1:8" ht="25.5">
      <c r="A37" s="211" t="s">
        <v>11</v>
      </c>
      <c r="B37" s="102" t="s">
        <v>279</v>
      </c>
      <c r="C37" s="166">
        <v>30</v>
      </c>
      <c r="D37" s="10">
        <v>0.43595500000000004</v>
      </c>
      <c r="E37" s="10">
        <v>2.379704</v>
      </c>
      <c r="F37" s="10">
        <v>1.967329</v>
      </c>
      <c r="G37" s="15">
        <v>31</v>
      </c>
      <c r="H37" s="162" t="s">
        <v>135</v>
      </c>
    </row>
    <row r="38" spans="1:8" ht="25.5">
      <c r="A38" s="211"/>
      <c r="B38" s="102" t="s">
        <v>247</v>
      </c>
      <c r="C38" s="1" t="s">
        <v>44</v>
      </c>
      <c r="D38" s="10">
        <v>5.13428</v>
      </c>
      <c r="E38" s="10">
        <v>2.6897200000000003</v>
      </c>
      <c r="F38" s="10">
        <v>9.724259999999997</v>
      </c>
      <c r="G38" s="7">
        <v>83</v>
      </c>
      <c r="H38" s="162" t="s">
        <v>74</v>
      </c>
    </row>
    <row r="39" spans="1:8" ht="25.5">
      <c r="A39" s="211"/>
      <c r="B39" s="102" t="s">
        <v>287</v>
      </c>
      <c r="C39" s="32">
        <v>50</v>
      </c>
      <c r="D39" s="14">
        <v>6.5549333333333335</v>
      </c>
      <c r="E39" s="14">
        <v>8.9628</v>
      </c>
      <c r="F39" s="14">
        <v>6.37</v>
      </c>
      <c r="G39" s="14">
        <v>132</v>
      </c>
      <c r="H39" s="187" t="s">
        <v>48</v>
      </c>
    </row>
    <row r="40" spans="1:8" ht="25.5">
      <c r="A40" s="211"/>
      <c r="B40" s="102" t="s">
        <v>224</v>
      </c>
      <c r="C40" s="1">
        <v>110</v>
      </c>
      <c r="D40" s="7">
        <v>6.03</v>
      </c>
      <c r="E40" s="7">
        <v>4.6</v>
      </c>
      <c r="F40" s="7">
        <v>26.35</v>
      </c>
      <c r="G40" s="7">
        <v>144</v>
      </c>
      <c r="H40" s="162" t="s">
        <v>76</v>
      </c>
    </row>
    <row r="41" spans="1:8" ht="25.5">
      <c r="A41" s="211"/>
      <c r="B41" s="103" t="s">
        <v>187</v>
      </c>
      <c r="C41" s="3">
        <v>150</v>
      </c>
      <c r="D41" s="6">
        <f>0.11*C41/180</f>
        <v>0.09166666666666666</v>
      </c>
      <c r="E41" s="6">
        <f>0.04*C41/180</f>
        <v>0.03333333333333333</v>
      </c>
      <c r="F41" s="6">
        <f>9.84*C41/180</f>
        <v>8.2</v>
      </c>
      <c r="G41" s="7">
        <f>40.17*C41/180</f>
        <v>33.475</v>
      </c>
      <c r="H41" s="162" t="s">
        <v>80</v>
      </c>
    </row>
    <row r="42" spans="1:8" ht="15.75">
      <c r="A42" s="211"/>
      <c r="B42" s="103" t="s">
        <v>12</v>
      </c>
      <c r="C42" s="3">
        <v>20</v>
      </c>
      <c r="D42" s="6">
        <v>1.32</v>
      </c>
      <c r="E42" s="6">
        <v>0.22</v>
      </c>
      <c r="F42" s="6">
        <v>8.2</v>
      </c>
      <c r="G42" s="7">
        <v>40</v>
      </c>
      <c r="H42" s="162" t="s">
        <v>59</v>
      </c>
    </row>
    <row r="43" spans="1:8" ht="15.75">
      <c r="A43" s="211"/>
      <c r="B43" s="103" t="s">
        <v>40</v>
      </c>
      <c r="C43" s="166">
        <v>20</v>
      </c>
      <c r="D43" s="6">
        <f>2.28*C43/30</f>
        <v>1.5199999999999998</v>
      </c>
      <c r="E43" s="6">
        <f>0.24*C43/30</f>
        <v>0.16</v>
      </c>
      <c r="F43" s="6">
        <f>14.76*C43/30</f>
        <v>9.84</v>
      </c>
      <c r="G43" s="6">
        <f>70.5*C43/30</f>
        <v>47</v>
      </c>
      <c r="H43" s="162" t="s">
        <v>58</v>
      </c>
    </row>
    <row r="44" spans="1:8" ht="15.75">
      <c r="A44" s="214" t="s">
        <v>13</v>
      </c>
      <c r="B44" s="214"/>
      <c r="C44" s="2">
        <v>540</v>
      </c>
      <c r="D44" s="12">
        <f>SUM(D37:D43)</f>
        <v>21.086835</v>
      </c>
      <c r="E44" s="12">
        <f>SUM(E37:E43)</f>
        <v>19.045557333333335</v>
      </c>
      <c r="F44" s="12">
        <f>SUM(F37:F43)</f>
        <v>70.651589</v>
      </c>
      <c r="G44" s="12">
        <f>SUM(G37:G43)</f>
        <v>510.475</v>
      </c>
      <c r="H44" s="162"/>
    </row>
    <row r="45" spans="1:8" ht="15.75">
      <c r="A45" s="210" t="s">
        <v>109</v>
      </c>
      <c r="B45" s="102" t="s">
        <v>302</v>
      </c>
      <c r="C45" s="170" t="s">
        <v>174</v>
      </c>
      <c r="D45" s="10">
        <v>9.745894</v>
      </c>
      <c r="E45" s="10">
        <v>10.292856</v>
      </c>
      <c r="F45" s="10">
        <v>57.665429</v>
      </c>
      <c r="G45" s="7">
        <v>362.5</v>
      </c>
      <c r="H45" s="162" t="s">
        <v>53</v>
      </c>
    </row>
    <row r="46" spans="1:8" ht="15.75">
      <c r="A46" s="210"/>
      <c r="B46" s="103" t="s">
        <v>12</v>
      </c>
      <c r="C46" s="3">
        <v>20</v>
      </c>
      <c r="D46" s="6">
        <v>1.32</v>
      </c>
      <c r="E46" s="6">
        <v>0.22</v>
      </c>
      <c r="F46" s="6">
        <v>8.2</v>
      </c>
      <c r="G46" s="7">
        <v>40</v>
      </c>
      <c r="H46" s="162" t="s">
        <v>59</v>
      </c>
    </row>
    <row r="47" spans="1:8" ht="15.75">
      <c r="A47" s="210"/>
      <c r="B47" s="104" t="s">
        <v>225</v>
      </c>
      <c r="C47" s="170" t="s">
        <v>118</v>
      </c>
      <c r="D47" s="10">
        <f>0.0376*C47/180</f>
        <v>0.03133333333333334</v>
      </c>
      <c r="E47" s="10">
        <f>0.008976*C47/180</f>
        <v>0.0074800000000000005</v>
      </c>
      <c r="F47" s="10">
        <f>6.81863*C47/180</f>
        <v>5.682191666666666</v>
      </c>
      <c r="G47" s="7">
        <f>29.34*C47/180</f>
        <v>24.45</v>
      </c>
      <c r="H47" s="162" t="s">
        <v>53</v>
      </c>
    </row>
    <row r="48" spans="1:8" ht="15.75">
      <c r="A48" s="210"/>
      <c r="B48" s="119" t="s">
        <v>140</v>
      </c>
      <c r="C48" s="3">
        <v>100</v>
      </c>
      <c r="D48" s="11">
        <v>0.4</v>
      </c>
      <c r="E48" s="11">
        <v>0.4</v>
      </c>
      <c r="F48" s="11">
        <v>9.8</v>
      </c>
      <c r="G48" s="11">
        <v>47</v>
      </c>
      <c r="H48" s="162" t="s">
        <v>64</v>
      </c>
    </row>
    <row r="49" spans="1:8" ht="15.75">
      <c r="A49" s="216" t="s">
        <v>110</v>
      </c>
      <c r="B49" s="216"/>
      <c r="C49" s="18" t="s">
        <v>115</v>
      </c>
      <c r="D49" s="13">
        <f>SUM(D45:D48)</f>
        <v>11.497227333333333</v>
      </c>
      <c r="E49" s="13">
        <f>SUM(E45:E48)</f>
        <v>10.920336</v>
      </c>
      <c r="F49" s="13">
        <f>SUM(F45:F48)</f>
        <v>81.34762066666667</v>
      </c>
      <c r="G49" s="13">
        <f>SUM(G45:G48)</f>
        <v>473.95</v>
      </c>
      <c r="H49" s="28"/>
    </row>
    <row r="50" spans="1:8" ht="15.75">
      <c r="A50" s="217" t="s">
        <v>35</v>
      </c>
      <c r="B50" s="217"/>
      <c r="C50" s="19">
        <f>C35+C36+C44+C49</f>
        <v>1420</v>
      </c>
      <c r="D50" s="19">
        <f>D35+D36+D44+D49</f>
        <v>44.47570323655914</v>
      </c>
      <c r="E50" s="19">
        <f>E35+E36+E44+E49</f>
        <v>42.02059759139785</v>
      </c>
      <c r="F50" s="19">
        <f>F35+F36+F44+F49</f>
        <v>210.4188517956989</v>
      </c>
      <c r="G50" s="19">
        <f>G35+G36+G44+G49</f>
        <v>1347.425</v>
      </c>
      <c r="H50" s="171"/>
    </row>
    <row r="51" spans="1:8" ht="15.75">
      <c r="A51" s="213" t="s">
        <v>32</v>
      </c>
      <c r="B51" s="213"/>
      <c r="C51" s="213"/>
      <c r="D51" s="213"/>
      <c r="E51" s="213"/>
      <c r="F51" s="213"/>
      <c r="G51" s="213"/>
      <c r="H51" s="213"/>
    </row>
    <row r="52" spans="1:8" ht="25.5">
      <c r="A52" s="211" t="s">
        <v>9</v>
      </c>
      <c r="B52" s="102" t="s">
        <v>303</v>
      </c>
      <c r="C52" s="3">
        <v>140</v>
      </c>
      <c r="D52" s="6">
        <f>3.9339*C52/150</f>
        <v>3.67164</v>
      </c>
      <c r="E52" s="6">
        <f>1.73184*C52/150</f>
        <v>1.616384</v>
      </c>
      <c r="F52" s="6">
        <f>27.28908*C52/150</f>
        <v>25.469808</v>
      </c>
      <c r="G52" s="6">
        <f>140.4*C52/150</f>
        <v>131.04</v>
      </c>
      <c r="H52" s="165" t="s">
        <v>138</v>
      </c>
    </row>
    <row r="53" spans="1:8" ht="25.5">
      <c r="A53" s="211"/>
      <c r="B53" s="102" t="s">
        <v>222</v>
      </c>
      <c r="C53" s="170" t="s">
        <v>134</v>
      </c>
      <c r="D53" s="7">
        <v>4.359999999999999</v>
      </c>
      <c r="E53" s="7">
        <v>7.375</v>
      </c>
      <c r="F53" s="7">
        <v>14.665</v>
      </c>
      <c r="G53" s="7">
        <v>138</v>
      </c>
      <c r="H53" s="165" t="s">
        <v>51</v>
      </c>
    </row>
    <row r="54" spans="1:8" ht="15.75">
      <c r="A54" s="211"/>
      <c r="B54" s="102" t="s">
        <v>226</v>
      </c>
      <c r="C54" s="26">
        <v>180</v>
      </c>
      <c r="D54" s="14">
        <f>1.551*C54/200</f>
        <v>1.3959000000000001</v>
      </c>
      <c r="E54" s="14">
        <f>1.58488*C54/200</f>
        <v>1.426392</v>
      </c>
      <c r="F54" s="14">
        <f>2.1749*C54/200</f>
        <v>1.95741</v>
      </c>
      <c r="G54" s="14">
        <f>29.16752*C54/200</f>
        <v>26.250767999999997</v>
      </c>
      <c r="H54" s="109" t="s">
        <v>139</v>
      </c>
    </row>
    <row r="55" spans="1:8" ht="15.75">
      <c r="A55" s="214" t="s">
        <v>10</v>
      </c>
      <c r="B55" s="214"/>
      <c r="C55" s="2">
        <v>350</v>
      </c>
      <c r="D55" s="8">
        <f>SUM(D52:D54)</f>
        <v>9.42754</v>
      </c>
      <c r="E55" s="8">
        <f>SUM(E52:E54)</f>
        <v>10.417776</v>
      </c>
      <c r="F55" s="8">
        <f>SUM(F52:F54)</f>
        <v>42.092218</v>
      </c>
      <c r="G55" s="8">
        <f>SUM(G52:G54)</f>
        <v>295.29076799999996</v>
      </c>
      <c r="H55" s="162"/>
    </row>
    <row r="56" spans="1:8" ht="15.75">
      <c r="A56" s="98" t="s">
        <v>29</v>
      </c>
      <c r="B56" s="104" t="s">
        <v>293</v>
      </c>
      <c r="C56" s="2">
        <v>100</v>
      </c>
      <c r="D56" s="8">
        <v>0.4</v>
      </c>
      <c r="E56" s="8">
        <v>0.4</v>
      </c>
      <c r="F56" s="8">
        <v>9.8</v>
      </c>
      <c r="G56" s="8">
        <v>47</v>
      </c>
      <c r="H56" s="162" t="s">
        <v>64</v>
      </c>
    </row>
    <row r="57" spans="1:8" ht="15.75">
      <c r="A57" s="211" t="s">
        <v>68</v>
      </c>
      <c r="B57" s="103" t="s">
        <v>273</v>
      </c>
      <c r="C57" s="1">
        <v>30</v>
      </c>
      <c r="D57" s="7">
        <v>0.25839999999999996</v>
      </c>
      <c r="E57" s="7">
        <v>2.8427480000000003</v>
      </c>
      <c r="F57" s="7">
        <v>0.8415680000000001</v>
      </c>
      <c r="G57" s="7">
        <v>29.9</v>
      </c>
      <c r="H57" s="162" t="s">
        <v>142</v>
      </c>
    </row>
    <row r="58" spans="1:8" ht="38.25">
      <c r="A58" s="211"/>
      <c r="B58" s="102" t="s">
        <v>227</v>
      </c>
      <c r="C58" s="166" t="s">
        <v>46</v>
      </c>
      <c r="D58" s="6">
        <v>4.14</v>
      </c>
      <c r="E58" s="6">
        <v>6.5</v>
      </c>
      <c r="F58" s="6">
        <v>5.49</v>
      </c>
      <c r="G58" s="6">
        <v>97.2</v>
      </c>
      <c r="H58" s="162" t="s">
        <v>56</v>
      </c>
    </row>
    <row r="59" spans="1:8" ht="15.75">
      <c r="A59" s="211"/>
      <c r="B59" s="102" t="s">
        <v>304</v>
      </c>
      <c r="C59" s="26">
        <v>50</v>
      </c>
      <c r="D59" s="117">
        <v>11.633439999999998</v>
      </c>
      <c r="E59" s="117">
        <v>11.010559999999998</v>
      </c>
      <c r="F59" s="117">
        <v>0</v>
      </c>
      <c r="G59" s="117">
        <v>145.62879999999998</v>
      </c>
      <c r="H59" s="162" t="s">
        <v>143</v>
      </c>
    </row>
    <row r="60" spans="1:8" ht="25.5">
      <c r="A60" s="211"/>
      <c r="B60" s="102" t="s">
        <v>228</v>
      </c>
      <c r="C60" s="1">
        <v>110</v>
      </c>
      <c r="D60" s="7">
        <f>2.45*C60/120</f>
        <v>2.245833333333333</v>
      </c>
      <c r="E60" s="7">
        <f>3.43*C60/120</f>
        <v>3.1441666666666666</v>
      </c>
      <c r="F60" s="7">
        <f>16.05*C60/120</f>
        <v>14.7125</v>
      </c>
      <c r="G60" s="7">
        <v>95</v>
      </c>
      <c r="H60" s="162" t="s">
        <v>57</v>
      </c>
    </row>
    <row r="61" spans="1:8" ht="25.5">
      <c r="A61" s="211"/>
      <c r="B61" s="106" t="s">
        <v>229</v>
      </c>
      <c r="C61" s="3">
        <v>150</v>
      </c>
      <c r="D61" s="6">
        <v>0.41</v>
      </c>
      <c r="E61" s="6">
        <v>0.06</v>
      </c>
      <c r="F61" s="6">
        <v>17.01</v>
      </c>
      <c r="G61" s="6">
        <v>70.15</v>
      </c>
      <c r="H61" s="162" t="s">
        <v>60</v>
      </c>
    </row>
    <row r="62" spans="1:8" ht="15.75">
      <c r="A62" s="211"/>
      <c r="B62" s="103" t="s">
        <v>12</v>
      </c>
      <c r="C62" s="3">
        <v>15</v>
      </c>
      <c r="D62" s="6">
        <f>1.32*C62/20</f>
        <v>0.99</v>
      </c>
      <c r="E62" s="6">
        <f>0.22*C62/20</f>
        <v>0.16499999999999998</v>
      </c>
      <c r="F62" s="6">
        <f>8.2*C62/20</f>
        <v>6.1499999999999995</v>
      </c>
      <c r="G62" s="7">
        <f>40*C62/20</f>
        <v>30</v>
      </c>
      <c r="H62" s="162" t="s">
        <v>59</v>
      </c>
    </row>
    <row r="63" spans="1:8" ht="15.75">
      <c r="A63" s="211"/>
      <c r="B63" s="103" t="s">
        <v>40</v>
      </c>
      <c r="C63" s="166">
        <v>20</v>
      </c>
      <c r="D63" s="6">
        <f>2.28*C63/30</f>
        <v>1.5199999999999998</v>
      </c>
      <c r="E63" s="6">
        <f>0.24*C63/30</f>
        <v>0.16</v>
      </c>
      <c r="F63" s="6">
        <f>14.76*C63/30</f>
        <v>9.84</v>
      </c>
      <c r="G63" s="6">
        <f>70.5*C63/30</f>
        <v>47</v>
      </c>
      <c r="H63" s="162" t="s">
        <v>58</v>
      </c>
    </row>
    <row r="64" spans="1:8" ht="15.75">
      <c r="A64" s="218" t="s">
        <v>13</v>
      </c>
      <c r="B64" s="218"/>
      <c r="C64" s="2">
        <v>545</v>
      </c>
      <c r="D64" s="12">
        <f>D57+D58+D59+D60+D61+D62+D63</f>
        <v>21.19767333333333</v>
      </c>
      <c r="E64" s="12">
        <f>E57+E58+E59+E60+E61+E62+E63</f>
        <v>23.882474666666663</v>
      </c>
      <c r="F64" s="12">
        <f>F57+F58+F59+F60+F61+F62+F63</f>
        <v>54.044067999999996</v>
      </c>
      <c r="G64" s="12">
        <f>G57+G58+G59+G60+G61+G62+G63</f>
        <v>514.8788</v>
      </c>
      <c r="H64" s="162"/>
    </row>
    <row r="65" spans="1:8" ht="25.5">
      <c r="A65" s="210" t="s">
        <v>109</v>
      </c>
      <c r="B65" s="102" t="s">
        <v>265</v>
      </c>
      <c r="C65" s="1" t="s">
        <v>145</v>
      </c>
      <c r="D65" s="7">
        <v>15.661743999999999</v>
      </c>
      <c r="E65" s="7">
        <v>7.128991999999999</v>
      </c>
      <c r="F65" s="7">
        <v>30.733008</v>
      </c>
      <c r="G65" s="7">
        <v>247.1</v>
      </c>
      <c r="H65" s="162" t="s">
        <v>121</v>
      </c>
    </row>
    <row r="66" spans="1:8" ht="15.75">
      <c r="A66" s="210"/>
      <c r="B66" s="104" t="s">
        <v>82</v>
      </c>
      <c r="C66" s="1">
        <v>150</v>
      </c>
      <c r="D66" s="7">
        <v>4.8</v>
      </c>
      <c r="E66" s="7">
        <v>3.75</v>
      </c>
      <c r="F66" s="7">
        <v>6.75</v>
      </c>
      <c r="G66" s="7">
        <v>79.5</v>
      </c>
      <c r="H66" s="162" t="s">
        <v>61</v>
      </c>
    </row>
    <row r="67" spans="1:8" ht="15.75">
      <c r="A67" s="210"/>
      <c r="B67" s="104" t="s">
        <v>144</v>
      </c>
      <c r="C67" s="32">
        <v>30</v>
      </c>
      <c r="D67" s="14">
        <f>2.52*C67/45</f>
        <v>1.68</v>
      </c>
      <c r="E67" s="14">
        <f>1.26*C67/45</f>
        <v>0.84</v>
      </c>
      <c r="F67" s="14">
        <f>35.2*C67/45</f>
        <v>23.466666666666665</v>
      </c>
      <c r="G67" s="14">
        <f>162*C67/45</f>
        <v>108</v>
      </c>
      <c r="H67" s="109" t="s">
        <v>117</v>
      </c>
    </row>
    <row r="68" spans="1:8" ht="15.75">
      <c r="A68" s="219" t="s">
        <v>110</v>
      </c>
      <c r="B68" s="219"/>
      <c r="C68" s="4">
        <v>280</v>
      </c>
      <c r="D68" s="13">
        <f>SUM(D65:D67)</f>
        <v>22.141744</v>
      </c>
      <c r="E68" s="13">
        <f>SUM(E65:E67)</f>
        <v>11.718992</v>
      </c>
      <c r="F68" s="13">
        <f>SUM(F65:F67)</f>
        <v>60.94967466666667</v>
      </c>
      <c r="G68" s="13">
        <f>SUM(G65:G67)</f>
        <v>434.6</v>
      </c>
      <c r="H68" s="162"/>
    </row>
    <row r="69" spans="1:8" ht="15.75">
      <c r="A69" s="172" t="s">
        <v>15</v>
      </c>
      <c r="B69" s="108"/>
      <c r="C69" s="173">
        <f>C55+C56+C64+C68</f>
        <v>1275</v>
      </c>
      <c r="D69" s="173">
        <f>D55+D56+D64+D68</f>
        <v>53.16695733333333</v>
      </c>
      <c r="E69" s="173">
        <f>E55+E56+E64+E68</f>
        <v>46.41924266666666</v>
      </c>
      <c r="F69" s="173">
        <f>F55+F56+F64+F68</f>
        <v>166.88596066666668</v>
      </c>
      <c r="G69" s="173">
        <f>G55+G56+G64+G68</f>
        <v>1291.769568</v>
      </c>
      <c r="H69" s="174"/>
    </row>
    <row r="70" spans="1:8" ht="15.75">
      <c r="A70" s="213" t="s">
        <v>33</v>
      </c>
      <c r="B70" s="213"/>
      <c r="C70" s="213"/>
      <c r="D70" s="213"/>
      <c r="E70" s="213"/>
      <c r="F70" s="213"/>
      <c r="G70" s="213"/>
      <c r="H70" s="213"/>
    </row>
    <row r="71" spans="1:8" ht="25.5">
      <c r="A71" s="211" t="s">
        <v>9</v>
      </c>
      <c r="B71" s="102" t="s">
        <v>253</v>
      </c>
      <c r="C71" s="3">
        <v>140</v>
      </c>
      <c r="D71" s="6">
        <f>5.31476*C71/150</f>
        <v>4.960442666666666</v>
      </c>
      <c r="E71" s="6">
        <v>2.0152</v>
      </c>
      <c r="F71" s="6">
        <v>24.51176</v>
      </c>
      <c r="G71" s="7">
        <v>107.2</v>
      </c>
      <c r="H71" s="189" t="s">
        <v>81</v>
      </c>
    </row>
    <row r="72" spans="1:8" ht="15.75">
      <c r="A72" s="211"/>
      <c r="B72" s="103" t="s">
        <v>184</v>
      </c>
      <c r="C72" s="161" t="s">
        <v>84</v>
      </c>
      <c r="D72" s="6">
        <v>1.58</v>
      </c>
      <c r="E72" s="6">
        <v>7.83</v>
      </c>
      <c r="F72" s="6">
        <v>10.41</v>
      </c>
      <c r="G72" s="10">
        <v>118.5</v>
      </c>
      <c r="H72" s="162" t="s">
        <v>66</v>
      </c>
    </row>
    <row r="73" spans="1:8" ht="25.5">
      <c r="A73" s="211"/>
      <c r="B73" s="103" t="s">
        <v>185</v>
      </c>
      <c r="C73" s="33" t="s">
        <v>47</v>
      </c>
      <c r="D73" s="14">
        <f>1.62432*C73/150</f>
        <v>1.9491839999999998</v>
      </c>
      <c r="E73" s="14">
        <f>1.66144*C73/150</f>
        <v>1.9937280000000002</v>
      </c>
      <c r="F73" s="14">
        <f>9.03266*C73/150</f>
        <v>10.839191999999999</v>
      </c>
      <c r="G73" s="14">
        <f>57.58088*C73/150</f>
        <v>69.097056</v>
      </c>
      <c r="H73" s="109" t="s">
        <v>129</v>
      </c>
    </row>
    <row r="74" spans="1:8" ht="15.75">
      <c r="A74" s="214" t="s">
        <v>10</v>
      </c>
      <c r="B74" s="214"/>
      <c r="C74" s="2">
        <v>350</v>
      </c>
      <c r="D74" s="8">
        <f>SUM(D71:D73)</f>
        <v>8.489626666666666</v>
      </c>
      <c r="E74" s="8">
        <f>SUM(E71:E73)</f>
        <v>11.838928000000001</v>
      </c>
      <c r="F74" s="8">
        <f>SUM(F71:F73)</f>
        <v>45.760951999999996</v>
      </c>
      <c r="G74" s="8">
        <f>SUM(G71:G73)</f>
        <v>294.797056</v>
      </c>
      <c r="H74" s="162"/>
    </row>
    <row r="75" spans="1:8" ht="15.75">
      <c r="A75" s="98" t="s">
        <v>28</v>
      </c>
      <c r="B75" s="104" t="s">
        <v>293</v>
      </c>
      <c r="C75" s="2">
        <v>100</v>
      </c>
      <c r="D75" s="9">
        <v>1.1</v>
      </c>
      <c r="E75" s="9">
        <v>0.3</v>
      </c>
      <c r="F75" s="9">
        <v>8.9</v>
      </c>
      <c r="G75" s="9">
        <v>44</v>
      </c>
      <c r="H75" s="175" t="s">
        <v>64</v>
      </c>
    </row>
    <row r="76" spans="1:8" ht="15.75">
      <c r="A76" s="211" t="s">
        <v>11</v>
      </c>
      <c r="B76" s="105" t="s">
        <v>275</v>
      </c>
      <c r="C76" s="3">
        <v>30</v>
      </c>
      <c r="D76" s="6">
        <v>0.27</v>
      </c>
      <c r="E76" s="6">
        <v>1.73</v>
      </c>
      <c r="F76" s="6">
        <v>0.95</v>
      </c>
      <c r="G76" s="6">
        <v>20.47</v>
      </c>
      <c r="H76" s="165" t="s">
        <v>69</v>
      </c>
    </row>
    <row r="77" spans="1:8" ht="38.25">
      <c r="A77" s="211"/>
      <c r="B77" s="102" t="s">
        <v>146</v>
      </c>
      <c r="C77" s="26" t="s">
        <v>44</v>
      </c>
      <c r="D77" s="35">
        <v>4.41612</v>
      </c>
      <c r="E77" s="35">
        <v>3.81436</v>
      </c>
      <c r="F77" s="35">
        <v>11.34861</v>
      </c>
      <c r="G77" s="35">
        <v>97.38816000000001</v>
      </c>
      <c r="H77" s="109" t="s">
        <v>147</v>
      </c>
    </row>
    <row r="78" spans="1:8" ht="38.25">
      <c r="A78" s="211"/>
      <c r="B78" s="103" t="s">
        <v>188</v>
      </c>
      <c r="C78" s="1">
        <v>160</v>
      </c>
      <c r="D78" s="7">
        <v>15.67</v>
      </c>
      <c r="E78" s="7">
        <v>14.94</v>
      </c>
      <c r="F78" s="7">
        <v>13.48</v>
      </c>
      <c r="G78" s="7">
        <v>251.05</v>
      </c>
      <c r="H78" s="162" t="s">
        <v>85</v>
      </c>
    </row>
    <row r="79" spans="1:8" ht="23.25" customHeight="1">
      <c r="A79" s="211"/>
      <c r="B79" s="103" t="s">
        <v>189</v>
      </c>
      <c r="C79" s="3">
        <v>150</v>
      </c>
      <c r="D79" s="6">
        <f>0.48*C79/150</f>
        <v>0.48</v>
      </c>
      <c r="E79" s="6">
        <f>0.2*C79/150</f>
        <v>0.2</v>
      </c>
      <c r="F79" s="6">
        <f>12.95*C79/150</f>
        <v>12.95</v>
      </c>
      <c r="G79" s="6">
        <f>55.52*C79/150</f>
        <v>55.52</v>
      </c>
      <c r="H79" s="162" t="s">
        <v>70</v>
      </c>
    </row>
    <row r="80" spans="1:8" ht="15.75">
      <c r="A80" s="211"/>
      <c r="B80" s="103" t="s">
        <v>12</v>
      </c>
      <c r="C80" s="3">
        <v>20</v>
      </c>
      <c r="D80" s="6">
        <v>1.32</v>
      </c>
      <c r="E80" s="6">
        <v>0.22</v>
      </c>
      <c r="F80" s="6">
        <v>8.2</v>
      </c>
      <c r="G80" s="7">
        <v>40</v>
      </c>
      <c r="H80" s="162" t="s">
        <v>59</v>
      </c>
    </row>
    <row r="81" spans="1:8" ht="15.75">
      <c r="A81" s="211"/>
      <c r="B81" s="103" t="s">
        <v>40</v>
      </c>
      <c r="C81" s="166">
        <v>20</v>
      </c>
      <c r="D81" s="6">
        <f>2.28*C81/30</f>
        <v>1.5199999999999998</v>
      </c>
      <c r="E81" s="6">
        <f>0.24*C81/30</f>
        <v>0.16</v>
      </c>
      <c r="F81" s="6">
        <f>14.76*C81/30</f>
        <v>9.84</v>
      </c>
      <c r="G81" s="6">
        <f>70.5*C81/30</f>
        <v>47</v>
      </c>
      <c r="H81" s="162" t="s">
        <v>58</v>
      </c>
    </row>
    <row r="82" spans="1:8" ht="15.75">
      <c r="A82" s="214" t="s">
        <v>13</v>
      </c>
      <c r="B82" s="214"/>
      <c r="C82" s="2">
        <v>540</v>
      </c>
      <c r="D82" s="12">
        <f>SUM(D76:D81)</f>
        <v>23.67612</v>
      </c>
      <c r="E82" s="12">
        <f>SUM(E76:E81)</f>
        <v>21.064359999999997</v>
      </c>
      <c r="F82" s="12">
        <f>SUM(F76:F81)</f>
        <v>56.76861000000001</v>
      </c>
      <c r="G82" s="12">
        <f>SUM(G76:G81)</f>
        <v>511.42816</v>
      </c>
      <c r="H82" s="162"/>
    </row>
    <row r="83" spans="1:8" ht="32.25" customHeight="1">
      <c r="A83" s="210" t="s">
        <v>109</v>
      </c>
      <c r="B83" s="103" t="s">
        <v>305</v>
      </c>
      <c r="C83" s="1">
        <v>50</v>
      </c>
      <c r="D83" s="7">
        <v>6.132560000000001</v>
      </c>
      <c r="E83" s="7">
        <v>4.6948</v>
      </c>
      <c r="F83" s="7">
        <v>7.1007299999999995</v>
      </c>
      <c r="G83" s="7">
        <v>95</v>
      </c>
      <c r="H83" s="162" t="s">
        <v>244</v>
      </c>
    </row>
    <row r="84" spans="1:8" ht="46.5" customHeight="1">
      <c r="A84" s="210"/>
      <c r="B84" s="103" t="s">
        <v>298</v>
      </c>
      <c r="C84" s="1">
        <v>110</v>
      </c>
      <c r="D84" s="7">
        <v>2.14</v>
      </c>
      <c r="E84" s="7">
        <v>4.31</v>
      </c>
      <c r="F84" s="7">
        <v>11.82</v>
      </c>
      <c r="G84" s="7">
        <v>94.66</v>
      </c>
      <c r="H84" s="162" t="s">
        <v>77</v>
      </c>
    </row>
    <row r="85" spans="1:8" ht="15.75">
      <c r="A85" s="210"/>
      <c r="B85" s="103" t="s">
        <v>190</v>
      </c>
      <c r="C85" s="3">
        <v>150</v>
      </c>
      <c r="D85" s="6">
        <f>0.23*C85/180</f>
        <v>0.19166666666666668</v>
      </c>
      <c r="E85" s="6">
        <f>0.05*C85/180</f>
        <v>0.041666666666666664</v>
      </c>
      <c r="F85" s="6">
        <f>6.98*C85/180</f>
        <v>5.816666666666666</v>
      </c>
      <c r="G85" s="7">
        <f>29.34*C85/180</f>
        <v>24.45</v>
      </c>
      <c r="H85" s="162" t="s">
        <v>63</v>
      </c>
    </row>
    <row r="86" spans="1:8" ht="15.75">
      <c r="A86" s="210"/>
      <c r="B86" s="76" t="s">
        <v>40</v>
      </c>
      <c r="C86" s="136">
        <v>30</v>
      </c>
      <c r="D86" s="43">
        <f>2.28*C86/30</f>
        <v>2.28</v>
      </c>
      <c r="E86" s="43">
        <f>0.24*C86/30</f>
        <v>0.23999999999999996</v>
      </c>
      <c r="F86" s="43">
        <f>14.76*C86/30</f>
        <v>14.76</v>
      </c>
      <c r="G86" s="43">
        <f>70.5*C86/30</f>
        <v>70.5</v>
      </c>
      <c r="H86" s="132" t="s">
        <v>58</v>
      </c>
    </row>
    <row r="87" spans="1:8" ht="15.75">
      <c r="A87" s="210"/>
      <c r="B87" s="103" t="s">
        <v>12</v>
      </c>
      <c r="C87" s="3">
        <v>20</v>
      </c>
      <c r="D87" s="6">
        <v>1.32</v>
      </c>
      <c r="E87" s="6">
        <v>0.22</v>
      </c>
      <c r="F87" s="6">
        <v>8.2</v>
      </c>
      <c r="G87" s="7">
        <v>40</v>
      </c>
      <c r="H87" s="162" t="s">
        <v>59</v>
      </c>
    </row>
    <row r="88" spans="1:8" ht="15.75">
      <c r="A88" s="219" t="s">
        <v>110</v>
      </c>
      <c r="B88" s="219"/>
      <c r="C88" s="2">
        <f>SUM(C83:C87)</f>
        <v>360</v>
      </c>
      <c r="D88" s="12">
        <f>SUM(D83:D87)</f>
        <v>12.064226666666666</v>
      </c>
      <c r="E88" s="12">
        <f>SUM(E83:E87)</f>
        <v>9.506466666666666</v>
      </c>
      <c r="F88" s="12">
        <f>SUM(F83:F87)</f>
        <v>47.69739666666666</v>
      </c>
      <c r="G88" s="12">
        <f>SUM(G83:G87)</f>
        <v>324.61</v>
      </c>
      <c r="H88" s="162"/>
    </row>
    <row r="89" spans="1:8" ht="15.75">
      <c r="A89" s="220" t="s">
        <v>16</v>
      </c>
      <c r="B89" s="220"/>
      <c r="C89" s="19">
        <f>C74+C75+C82+C88</f>
        <v>1350</v>
      </c>
      <c r="D89" s="19">
        <f>D74+D75+D82+D88</f>
        <v>45.32997333333333</v>
      </c>
      <c r="E89" s="19">
        <f>E74+E75+E82+E88</f>
        <v>42.70975466666667</v>
      </c>
      <c r="F89" s="19">
        <f>F74+F75+F82+F88</f>
        <v>159.12695866666667</v>
      </c>
      <c r="G89" s="19">
        <f>G74+G75+G82+G88</f>
        <v>1174.835216</v>
      </c>
      <c r="H89" s="176"/>
    </row>
    <row r="90" spans="1:8" ht="15.75">
      <c r="A90" s="213" t="s">
        <v>34</v>
      </c>
      <c r="B90" s="213"/>
      <c r="C90" s="213"/>
      <c r="D90" s="213"/>
      <c r="E90" s="213"/>
      <c r="F90" s="213"/>
      <c r="G90" s="213"/>
      <c r="H90" s="213"/>
    </row>
    <row r="91" spans="1:8" ht="25.5">
      <c r="A91" s="211" t="s">
        <v>9</v>
      </c>
      <c r="B91" s="102" t="s">
        <v>230</v>
      </c>
      <c r="C91" s="3">
        <v>140</v>
      </c>
      <c r="D91" s="6">
        <f>4.8645*C91/150</f>
        <v>4.5402</v>
      </c>
      <c r="E91" s="6">
        <f>2.4552*C91/150</f>
        <v>2.2915200000000002</v>
      </c>
      <c r="F91" s="6">
        <f>23.78649*C91/150</f>
        <v>22.200724</v>
      </c>
      <c r="G91" s="7">
        <v>109.3</v>
      </c>
      <c r="H91" s="165" t="s">
        <v>83</v>
      </c>
    </row>
    <row r="92" spans="1:8" ht="15.75">
      <c r="A92" s="211"/>
      <c r="B92" s="103" t="s">
        <v>184</v>
      </c>
      <c r="C92" s="161" t="s">
        <v>84</v>
      </c>
      <c r="D92" s="6">
        <v>1.58</v>
      </c>
      <c r="E92" s="6">
        <v>7.83</v>
      </c>
      <c r="F92" s="6">
        <v>10.41</v>
      </c>
      <c r="G92" s="10">
        <v>118.5</v>
      </c>
      <c r="H92" s="162" t="s">
        <v>66</v>
      </c>
    </row>
    <row r="93" spans="1:8" ht="15.75">
      <c r="A93" s="211"/>
      <c r="B93" s="102" t="s">
        <v>223</v>
      </c>
      <c r="C93" s="3">
        <v>180</v>
      </c>
      <c r="D93" s="7">
        <v>2.46</v>
      </c>
      <c r="E93" s="7">
        <v>1.86</v>
      </c>
      <c r="F93" s="7">
        <v>11.94</v>
      </c>
      <c r="G93" s="7">
        <v>64</v>
      </c>
      <c r="H93" s="165" t="s">
        <v>78</v>
      </c>
    </row>
    <row r="94" spans="1:8" ht="15.75">
      <c r="A94" s="214" t="s">
        <v>10</v>
      </c>
      <c r="B94" s="214"/>
      <c r="C94" s="163" t="s">
        <v>52</v>
      </c>
      <c r="D94" s="8">
        <f>SUM(D91:D93)</f>
        <v>8.5802</v>
      </c>
      <c r="E94" s="8">
        <f>SUM(E91:E93)</f>
        <v>11.98152</v>
      </c>
      <c r="F94" s="8">
        <f>SUM(F91:F93)</f>
        <v>44.550724</v>
      </c>
      <c r="G94" s="8">
        <f>SUM(G91:G93)</f>
        <v>291.8</v>
      </c>
      <c r="H94" s="162"/>
    </row>
    <row r="95" spans="1:8" ht="15.75">
      <c r="A95" s="4" t="s">
        <v>38</v>
      </c>
      <c r="B95" s="102" t="s">
        <v>148</v>
      </c>
      <c r="C95" s="34">
        <v>150</v>
      </c>
      <c r="D95" s="196">
        <f>4.05*C95/150</f>
        <v>4.05</v>
      </c>
      <c r="E95" s="196">
        <f>4.5*C95/150</f>
        <v>4.5</v>
      </c>
      <c r="F95" s="196">
        <f>6.6*C95/150</f>
        <v>6.6</v>
      </c>
      <c r="G95" s="196">
        <f>81*C95/150</f>
        <v>81</v>
      </c>
      <c r="H95" s="162" t="s">
        <v>61</v>
      </c>
    </row>
    <row r="96" spans="1:8" ht="15.75">
      <c r="A96" s="211" t="s">
        <v>11</v>
      </c>
      <c r="B96" s="102" t="s">
        <v>280</v>
      </c>
      <c r="C96" s="26">
        <v>30</v>
      </c>
      <c r="D96" s="197">
        <f>0.4*C96/50</f>
        <v>0.24</v>
      </c>
      <c r="E96" s="197">
        <f>0.05*C96/50</f>
        <v>0.03</v>
      </c>
      <c r="F96" s="197">
        <f>0.85*C96/50</f>
        <v>0.51</v>
      </c>
      <c r="G96" s="198">
        <f>6.5*C96/50</f>
        <v>3.9</v>
      </c>
      <c r="H96" s="109" t="s">
        <v>123</v>
      </c>
    </row>
    <row r="97" spans="1:8" ht="51">
      <c r="A97" s="211"/>
      <c r="B97" s="102" t="s">
        <v>231</v>
      </c>
      <c r="C97" s="3" t="s">
        <v>46</v>
      </c>
      <c r="D97" s="11">
        <v>4.17</v>
      </c>
      <c r="E97" s="11">
        <v>6.29</v>
      </c>
      <c r="F97" s="11">
        <v>7.83</v>
      </c>
      <c r="G97" s="11">
        <v>104.74</v>
      </c>
      <c r="H97" s="162" t="s">
        <v>92</v>
      </c>
    </row>
    <row r="98" spans="1:8" ht="26.25">
      <c r="A98" s="211"/>
      <c r="B98" s="110" t="s">
        <v>149</v>
      </c>
      <c r="C98" s="32">
        <v>50</v>
      </c>
      <c r="D98" s="14">
        <v>7.638440000000002</v>
      </c>
      <c r="E98" s="14">
        <v>7.971920000000001</v>
      </c>
      <c r="F98" s="14">
        <v>7.1007299999999995</v>
      </c>
      <c r="G98" s="14">
        <v>130.70396</v>
      </c>
      <c r="H98" s="109" t="s">
        <v>150</v>
      </c>
    </row>
    <row r="99" spans="1:8" ht="25.5">
      <c r="A99" s="211"/>
      <c r="B99" s="102" t="s">
        <v>232</v>
      </c>
      <c r="C99" s="166">
        <v>110</v>
      </c>
      <c r="D99" s="10">
        <v>3.74</v>
      </c>
      <c r="E99" s="10">
        <v>2.33</v>
      </c>
      <c r="F99" s="10">
        <v>23.13</v>
      </c>
      <c r="G99" s="11">
        <v>128.44</v>
      </c>
      <c r="H99" s="162" t="s">
        <v>73</v>
      </c>
    </row>
    <row r="100" spans="1:8" ht="25.5">
      <c r="A100" s="211"/>
      <c r="B100" s="102" t="s">
        <v>173</v>
      </c>
      <c r="C100" s="26">
        <v>150</v>
      </c>
      <c r="D100" s="35">
        <v>0.17099999999999999</v>
      </c>
      <c r="E100" s="35">
        <v>0.0705</v>
      </c>
      <c r="F100" s="35">
        <v>14.860300000000002</v>
      </c>
      <c r="G100" s="35">
        <v>60.7</v>
      </c>
      <c r="H100" s="162" t="s">
        <v>241</v>
      </c>
    </row>
    <row r="101" spans="1:8" ht="15.75">
      <c r="A101" s="211"/>
      <c r="B101" s="103" t="s">
        <v>12</v>
      </c>
      <c r="C101" s="3">
        <v>20</v>
      </c>
      <c r="D101" s="6">
        <v>1.32</v>
      </c>
      <c r="E101" s="6">
        <v>0.22</v>
      </c>
      <c r="F101" s="6">
        <v>8.2</v>
      </c>
      <c r="G101" s="7">
        <v>40</v>
      </c>
      <c r="H101" s="162" t="s">
        <v>59</v>
      </c>
    </row>
    <row r="102" spans="1:8" ht="15.75">
      <c r="A102" s="211"/>
      <c r="B102" s="103" t="s">
        <v>40</v>
      </c>
      <c r="C102" s="166">
        <v>20</v>
      </c>
      <c r="D102" s="6">
        <f>2.28*C102/30</f>
        <v>1.5199999999999998</v>
      </c>
      <c r="E102" s="6">
        <f>0.24*C102/30</f>
        <v>0.16</v>
      </c>
      <c r="F102" s="6">
        <f>14.76*C102/30</f>
        <v>9.84</v>
      </c>
      <c r="G102" s="6">
        <f>70.5*C102/30</f>
        <v>47</v>
      </c>
      <c r="H102" s="162" t="s">
        <v>58</v>
      </c>
    </row>
    <row r="103" spans="1:8" ht="15.75">
      <c r="A103" s="218" t="s">
        <v>19</v>
      </c>
      <c r="B103" s="218"/>
      <c r="C103" s="2">
        <v>550</v>
      </c>
      <c r="D103" s="12">
        <f>SUM(D96:D102)</f>
        <v>18.79944</v>
      </c>
      <c r="E103" s="12">
        <f>SUM(E96:E102)</f>
        <v>17.07242</v>
      </c>
      <c r="F103" s="12">
        <f>SUM(F96:F102)</f>
        <v>71.47103</v>
      </c>
      <c r="G103" s="12">
        <f>SUM(G96:G102)</f>
        <v>515.48396</v>
      </c>
      <c r="H103" s="162"/>
    </row>
    <row r="104" spans="1:8" ht="52.5" customHeight="1">
      <c r="A104" s="210" t="s">
        <v>109</v>
      </c>
      <c r="B104" s="102" t="s">
        <v>266</v>
      </c>
      <c r="C104" s="170" t="s">
        <v>136</v>
      </c>
      <c r="D104" s="10">
        <v>15.975769599999996</v>
      </c>
      <c r="E104" s="10">
        <v>5.606444799999999</v>
      </c>
      <c r="F104" s="10">
        <v>31.477638399999996</v>
      </c>
      <c r="G104" s="7">
        <v>236.7</v>
      </c>
      <c r="H104" s="191" t="s">
        <v>122</v>
      </c>
    </row>
    <row r="105" spans="1:8" ht="41.25" customHeight="1">
      <c r="A105" s="210"/>
      <c r="B105" s="106" t="s">
        <v>151</v>
      </c>
      <c r="C105" s="32">
        <v>50</v>
      </c>
      <c r="D105" s="14">
        <v>4.57498</v>
      </c>
      <c r="E105" s="14">
        <v>4.5684320000000005</v>
      </c>
      <c r="F105" s="14">
        <v>26.6903</v>
      </c>
      <c r="G105" s="14">
        <v>154.177008</v>
      </c>
      <c r="H105" s="109" t="s">
        <v>152</v>
      </c>
    </row>
    <row r="106" spans="1:8" ht="15.75">
      <c r="A106" s="210"/>
      <c r="B106" s="111" t="s">
        <v>191</v>
      </c>
      <c r="C106" s="26">
        <v>150</v>
      </c>
      <c r="D106" s="35">
        <v>0.09</v>
      </c>
      <c r="E106" s="35">
        <v>0</v>
      </c>
      <c r="F106" s="35">
        <v>12.27</v>
      </c>
      <c r="G106" s="35">
        <v>49.47</v>
      </c>
      <c r="H106" s="32" t="s">
        <v>153</v>
      </c>
    </row>
    <row r="107" spans="1:8" ht="15.75">
      <c r="A107" s="212" t="s">
        <v>110</v>
      </c>
      <c r="B107" s="212"/>
      <c r="C107" s="18" t="s">
        <v>154</v>
      </c>
      <c r="D107" s="13">
        <f>SUM(D104:D106)</f>
        <v>20.640749599999996</v>
      </c>
      <c r="E107" s="13">
        <f>SUM(E104:E106)</f>
        <v>10.1748768</v>
      </c>
      <c r="F107" s="13">
        <f>SUM(F104:F106)</f>
        <v>70.4379384</v>
      </c>
      <c r="G107" s="13">
        <f>SUM(G104:G106)</f>
        <v>440.34700799999996</v>
      </c>
      <c r="H107" s="165"/>
    </row>
    <row r="108" spans="1:8" ht="15.75">
      <c r="A108" s="177" t="s">
        <v>17</v>
      </c>
      <c r="B108" s="112"/>
      <c r="C108" s="20"/>
      <c r="D108" s="19">
        <f>D94+D95+D103+D107</f>
        <v>52.0703896</v>
      </c>
      <c r="E108" s="19">
        <f>E94+E95+E103+E107</f>
        <v>43.7288168</v>
      </c>
      <c r="F108" s="19">
        <f>F94+F95+F103+F107</f>
        <v>193.05969240000002</v>
      </c>
      <c r="G108" s="19">
        <f>G94+G95+G103+G107</f>
        <v>1328.630968</v>
      </c>
      <c r="H108" s="171"/>
    </row>
    <row r="109" spans="1:8" ht="15.75">
      <c r="A109" s="221" t="s">
        <v>172</v>
      </c>
      <c r="B109" s="221"/>
      <c r="C109" s="221"/>
      <c r="D109" s="178">
        <f>(D108+D89+D69+D50+D30)/5</f>
        <v>48.66007348064516</v>
      </c>
      <c r="E109" s="178">
        <f>(E108+E89+E69+E50+E30)/5</f>
        <v>45.26460454494624</v>
      </c>
      <c r="F109" s="178">
        <f>(F108+F89+F69+F50+F30)/5</f>
        <v>181.84800046580645</v>
      </c>
      <c r="G109" s="178">
        <f>(G108+G89+G69+G50+G30)/5</f>
        <v>1289.7551792</v>
      </c>
      <c r="H109" s="179"/>
    </row>
    <row r="110" spans="1:8" ht="15.75">
      <c r="A110" s="219" t="s">
        <v>27</v>
      </c>
      <c r="B110" s="219"/>
      <c r="C110" s="219"/>
      <c r="D110" s="219"/>
      <c r="E110" s="219"/>
      <c r="F110" s="219"/>
      <c r="G110" s="219"/>
      <c r="H110" s="219"/>
    </row>
    <row r="111" spans="1:8" ht="15.75">
      <c r="A111" s="213" t="s">
        <v>18</v>
      </c>
      <c r="B111" s="213"/>
      <c r="C111" s="213"/>
      <c r="D111" s="213"/>
      <c r="E111" s="213"/>
      <c r="F111" s="213"/>
      <c r="G111" s="213"/>
      <c r="H111" s="213"/>
    </row>
    <row r="112" spans="1:8" ht="29.25" customHeight="1">
      <c r="A112" s="211" t="s">
        <v>9</v>
      </c>
      <c r="B112" s="102" t="s">
        <v>259</v>
      </c>
      <c r="C112" s="1">
        <v>140</v>
      </c>
      <c r="D112" s="7">
        <f>3.720426*C112/130</f>
        <v>4.006612615384616</v>
      </c>
      <c r="E112" s="7">
        <f>2.028048*C112/130</f>
        <v>2.1840516923076922</v>
      </c>
      <c r="F112" s="7">
        <f>17.960488*C112/130</f>
        <v>19.342064000000004</v>
      </c>
      <c r="G112" s="7">
        <v>111.9</v>
      </c>
      <c r="H112" s="165" t="s">
        <v>71</v>
      </c>
    </row>
    <row r="113" spans="1:8" ht="15.75">
      <c r="A113" s="211"/>
      <c r="B113" s="103" t="s">
        <v>184</v>
      </c>
      <c r="C113" s="161" t="s">
        <v>84</v>
      </c>
      <c r="D113" s="6">
        <v>1.58</v>
      </c>
      <c r="E113" s="6">
        <v>7.83</v>
      </c>
      <c r="F113" s="6">
        <v>10.41</v>
      </c>
      <c r="G113" s="10">
        <v>118.5</v>
      </c>
      <c r="H113" s="162" t="s">
        <v>66</v>
      </c>
    </row>
    <row r="114" spans="1:8" ht="15.75">
      <c r="A114" s="211"/>
      <c r="B114" s="102" t="s">
        <v>223</v>
      </c>
      <c r="C114" s="3">
        <v>180</v>
      </c>
      <c r="D114" s="7">
        <v>2.46</v>
      </c>
      <c r="E114" s="7">
        <v>1.86</v>
      </c>
      <c r="F114" s="7">
        <v>11.94</v>
      </c>
      <c r="G114" s="7">
        <v>64</v>
      </c>
      <c r="H114" s="165" t="s">
        <v>78</v>
      </c>
    </row>
    <row r="115" spans="1:8" ht="15.75">
      <c r="A115" s="219" t="s">
        <v>10</v>
      </c>
      <c r="B115" s="219"/>
      <c r="C115" s="2">
        <v>350</v>
      </c>
      <c r="D115" s="12">
        <f>SUM(D112:D114)</f>
        <v>8.046612615384616</v>
      </c>
      <c r="E115" s="12">
        <f>SUM(E112:E114)</f>
        <v>11.874051692307692</v>
      </c>
      <c r="F115" s="12">
        <f>SUM(F112:F114)</f>
        <v>41.692064</v>
      </c>
      <c r="G115" s="12">
        <f>SUM(G112:G114)</f>
        <v>294.4</v>
      </c>
      <c r="H115" s="162"/>
    </row>
    <row r="116" spans="1:8" ht="15.75">
      <c r="A116" s="98" t="s">
        <v>29</v>
      </c>
      <c r="B116" s="104" t="s">
        <v>41</v>
      </c>
      <c r="C116" s="2">
        <v>150</v>
      </c>
      <c r="D116" s="9">
        <v>0.75</v>
      </c>
      <c r="E116" s="9">
        <v>0.15</v>
      </c>
      <c r="F116" s="9">
        <v>15.15</v>
      </c>
      <c r="G116" s="9">
        <v>69</v>
      </c>
      <c r="H116" s="162" t="s">
        <v>54</v>
      </c>
    </row>
    <row r="117" spans="1:8" ht="15.75">
      <c r="A117" s="211" t="s">
        <v>11</v>
      </c>
      <c r="B117" s="102" t="s">
        <v>294</v>
      </c>
      <c r="C117" s="26">
        <v>30</v>
      </c>
      <c r="D117" s="197">
        <v>0.246525</v>
      </c>
      <c r="E117" s="197">
        <v>1.473168</v>
      </c>
      <c r="F117" s="197">
        <v>2.1755370000000003</v>
      </c>
      <c r="G117" s="198">
        <v>22.94676</v>
      </c>
      <c r="H117" s="109" t="s">
        <v>155</v>
      </c>
    </row>
    <row r="118" spans="1:8" ht="38.25">
      <c r="A118" s="211"/>
      <c r="B118" s="102" t="s">
        <v>233</v>
      </c>
      <c r="C118" s="32" t="s">
        <v>44</v>
      </c>
      <c r="D118" s="14">
        <v>3.409688</v>
      </c>
      <c r="E118" s="14">
        <v>5.145251999999999</v>
      </c>
      <c r="F118" s="14">
        <v>6.181629999999999</v>
      </c>
      <c r="G118" s="14">
        <v>84.67254</v>
      </c>
      <c r="H118" s="109" t="s">
        <v>164</v>
      </c>
    </row>
    <row r="119" spans="1:8" ht="26.25">
      <c r="A119" s="211"/>
      <c r="B119" s="110" t="s">
        <v>156</v>
      </c>
      <c r="C119" s="32">
        <v>50</v>
      </c>
      <c r="D119" s="14">
        <v>7.638440000000002</v>
      </c>
      <c r="E119" s="14">
        <v>7.971920000000001</v>
      </c>
      <c r="F119" s="14">
        <v>7.1007299999999995</v>
      </c>
      <c r="G119" s="14">
        <v>130.70396</v>
      </c>
      <c r="H119" s="109" t="s">
        <v>150</v>
      </c>
    </row>
    <row r="120" spans="1:8" ht="25.5">
      <c r="A120" s="211"/>
      <c r="B120" s="102" t="s">
        <v>228</v>
      </c>
      <c r="C120" s="1">
        <v>110</v>
      </c>
      <c r="D120" s="7">
        <f>2.45*C120/120</f>
        <v>2.245833333333333</v>
      </c>
      <c r="E120" s="7">
        <f>3.43*C120/120</f>
        <v>3.1441666666666666</v>
      </c>
      <c r="F120" s="7">
        <f>16.05*C120/120</f>
        <v>14.7125</v>
      </c>
      <c r="G120" s="7">
        <v>95</v>
      </c>
      <c r="H120" s="162" t="s">
        <v>57</v>
      </c>
    </row>
    <row r="121" spans="1:8" ht="15.75">
      <c r="A121" s="211"/>
      <c r="B121" s="103" t="s">
        <v>49</v>
      </c>
      <c r="C121" s="166">
        <v>150</v>
      </c>
      <c r="D121" s="6">
        <v>0.74</v>
      </c>
      <c r="E121" s="6">
        <v>0.04</v>
      </c>
      <c r="F121" s="6">
        <v>14.23</v>
      </c>
      <c r="G121" s="6">
        <v>60.25</v>
      </c>
      <c r="H121" s="162" t="s">
        <v>60</v>
      </c>
    </row>
    <row r="122" spans="1:8" ht="15.75">
      <c r="A122" s="211"/>
      <c r="B122" s="103" t="s">
        <v>12</v>
      </c>
      <c r="C122" s="3">
        <v>20</v>
      </c>
      <c r="D122" s="6">
        <v>1.32</v>
      </c>
      <c r="E122" s="6">
        <v>0.22</v>
      </c>
      <c r="F122" s="6">
        <v>8.2</v>
      </c>
      <c r="G122" s="7">
        <v>40</v>
      </c>
      <c r="H122" s="162" t="s">
        <v>59</v>
      </c>
    </row>
    <row r="123" spans="1:8" ht="15.75">
      <c r="A123" s="211"/>
      <c r="B123" s="103" t="s">
        <v>40</v>
      </c>
      <c r="C123" s="166">
        <v>20</v>
      </c>
      <c r="D123" s="6">
        <f>2.28*C123/30</f>
        <v>1.5199999999999998</v>
      </c>
      <c r="E123" s="6">
        <f>0.24*C123/30</f>
        <v>0.16</v>
      </c>
      <c r="F123" s="6">
        <f>14.76*C123/30</f>
        <v>9.84</v>
      </c>
      <c r="G123" s="6">
        <f>70.5*C123/30</f>
        <v>47</v>
      </c>
      <c r="H123" s="162" t="s">
        <v>58</v>
      </c>
    </row>
    <row r="124" spans="1:8" ht="15.75">
      <c r="A124" s="219" t="s">
        <v>13</v>
      </c>
      <c r="B124" s="219"/>
      <c r="C124" s="4">
        <v>540</v>
      </c>
      <c r="D124" s="13">
        <f>SUM(D117:D123)</f>
        <v>17.120486333333336</v>
      </c>
      <c r="E124" s="13">
        <f>SUM(E117:E123)</f>
        <v>18.154506666666666</v>
      </c>
      <c r="F124" s="13">
        <f>SUM(F117:F123)</f>
        <v>62.440397000000004</v>
      </c>
      <c r="G124" s="13">
        <f>SUM(G117:G123)</f>
        <v>480.57326</v>
      </c>
      <c r="H124" s="162"/>
    </row>
    <row r="125" spans="1:8" ht="15.75">
      <c r="A125" s="210" t="s">
        <v>109</v>
      </c>
      <c r="B125" s="180" t="s">
        <v>260</v>
      </c>
      <c r="C125" s="1">
        <v>30</v>
      </c>
      <c r="D125" s="7">
        <v>0.48</v>
      </c>
      <c r="E125" s="7">
        <v>0.12</v>
      </c>
      <c r="F125" s="7">
        <v>4.29</v>
      </c>
      <c r="G125" s="7">
        <v>20.7</v>
      </c>
      <c r="H125" s="162" t="s">
        <v>251</v>
      </c>
    </row>
    <row r="126" spans="1:8" ht="25.5">
      <c r="A126" s="210"/>
      <c r="B126" s="102" t="s">
        <v>234</v>
      </c>
      <c r="C126" s="1">
        <v>150</v>
      </c>
      <c r="D126" s="7">
        <f>14.84119*C126/130</f>
        <v>17.12445</v>
      </c>
      <c r="E126" s="7">
        <f>19.2335*C126/130</f>
        <v>22.1925</v>
      </c>
      <c r="F126" s="7">
        <f>2.04461833333333*C126/130</f>
        <v>2.3591749999999965</v>
      </c>
      <c r="G126" s="7">
        <f>240.6*C126/130</f>
        <v>277.61538461538464</v>
      </c>
      <c r="H126" s="187" t="s">
        <v>270</v>
      </c>
    </row>
    <row r="127" spans="1:8" ht="15.75">
      <c r="A127" s="210"/>
      <c r="B127" s="103" t="s">
        <v>190</v>
      </c>
      <c r="C127" s="3">
        <v>150</v>
      </c>
      <c r="D127" s="6">
        <f>0.23*C127/180</f>
        <v>0.19166666666666668</v>
      </c>
      <c r="E127" s="6">
        <f>0.05*C127/180</f>
        <v>0.041666666666666664</v>
      </c>
      <c r="F127" s="6">
        <f>6.98*C127/180</f>
        <v>5.816666666666666</v>
      </c>
      <c r="G127" s="7">
        <f>29.34*C127/180</f>
        <v>24.45</v>
      </c>
      <c r="H127" s="162" t="s">
        <v>63</v>
      </c>
    </row>
    <row r="128" spans="1:8" ht="15.75">
      <c r="A128" s="210"/>
      <c r="B128" s="103" t="s">
        <v>12</v>
      </c>
      <c r="C128" s="3">
        <v>20</v>
      </c>
      <c r="D128" s="6">
        <v>1.32</v>
      </c>
      <c r="E128" s="6">
        <v>0.22</v>
      </c>
      <c r="F128" s="6">
        <v>8.2</v>
      </c>
      <c r="G128" s="7">
        <v>40</v>
      </c>
      <c r="H128" s="162" t="s">
        <v>59</v>
      </c>
    </row>
    <row r="129" spans="1:8" ht="15.75">
      <c r="A129" s="210"/>
      <c r="B129" s="113" t="s">
        <v>116</v>
      </c>
      <c r="C129" s="26">
        <v>11</v>
      </c>
      <c r="D129" s="35">
        <v>0.8</v>
      </c>
      <c r="E129" s="35">
        <v>2.1</v>
      </c>
      <c r="F129" s="35">
        <v>7.5</v>
      </c>
      <c r="G129" s="35">
        <v>52</v>
      </c>
      <c r="H129" s="114" t="s">
        <v>117</v>
      </c>
    </row>
    <row r="130" spans="1:8" ht="15.75">
      <c r="A130" s="219" t="s">
        <v>110</v>
      </c>
      <c r="B130" s="219"/>
      <c r="C130" s="4">
        <v>361</v>
      </c>
      <c r="D130" s="13">
        <f>SUM(D125:D129)</f>
        <v>19.916116666666667</v>
      </c>
      <c r="E130" s="13">
        <f>SUM(E125:E129)</f>
        <v>24.674166666666668</v>
      </c>
      <c r="F130" s="13">
        <f>SUM(F125:F129)</f>
        <v>28.165841666666662</v>
      </c>
      <c r="G130" s="13">
        <f>SUM(G125:G129)</f>
        <v>414.7653846153846</v>
      </c>
      <c r="H130" s="162"/>
    </row>
    <row r="131" spans="1:8" ht="15.75">
      <c r="A131" s="181" t="s">
        <v>39</v>
      </c>
      <c r="B131" s="115"/>
      <c r="C131" s="182">
        <f>C115+C116+C124+C130</f>
        <v>1401</v>
      </c>
      <c r="D131" s="182">
        <f>D115+D116+D124+D130</f>
        <v>45.83321561538462</v>
      </c>
      <c r="E131" s="182">
        <f>E115+E116+E124+E130</f>
        <v>54.85272502564102</v>
      </c>
      <c r="F131" s="182">
        <f>F115+F116+F124+F130</f>
        <v>147.44830266666668</v>
      </c>
      <c r="G131" s="182">
        <f>G115+G116+G124+G130</f>
        <v>1258.7386446153846</v>
      </c>
      <c r="H131" s="183"/>
    </row>
    <row r="132" spans="1:8" ht="15.75">
      <c r="A132" s="213" t="s">
        <v>21</v>
      </c>
      <c r="B132" s="213"/>
      <c r="C132" s="213"/>
      <c r="D132" s="213"/>
      <c r="E132" s="213"/>
      <c r="F132" s="213"/>
      <c r="G132" s="213"/>
      <c r="H132" s="213"/>
    </row>
    <row r="133" spans="1:8" ht="25.5">
      <c r="A133" s="211" t="s">
        <v>9</v>
      </c>
      <c r="B133" s="102" t="s">
        <v>235</v>
      </c>
      <c r="C133" s="38" t="s">
        <v>130</v>
      </c>
      <c r="D133" s="35">
        <f>4.5919*C133/150</f>
        <v>4.285773333333333</v>
      </c>
      <c r="E133" s="35">
        <f>2.794*C133/150</f>
        <v>2.6077333333333335</v>
      </c>
      <c r="F133" s="35">
        <f>24.66646*C133/150</f>
        <v>23.022029333333332</v>
      </c>
      <c r="G133" s="35">
        <f>142.17944*C133/150</f>
        <v>132.70081066666665</v>
      </c>
      <c r="H133" s="169" t="s">
        <v>158</v>
      </c>
    </row>
    <row r="134" spans="1:8" ht="15.75">
      <c r="A134" s="211"/>
      <c r="B134" s="103" t="s">
        <v>184</v>
      </c>
      <c r="C134" s="161" t="s">
        <v>84</v>
      </c>
      <c r="D134" s="6">
        <v>1.58</v>
      </c>
      <c r="E134" s="6">
        <v>7.83</v>
      </c>
      <c r="F134" s="6">
        <v>10.41</v>
      </c>
      <c r="G134" s="10">
        <v>118.5</v>
      </c>
      <c r="H134" s="162" t="s">
        <v>66</v>
      </c>
    </row>
    <row r="135" spans="1:8" ht="15.75">
      <c r="A135" s="211"/>
      <c r="B135" s="102" t="s">
        <v>226</v>
      </c>
      <c r="C135" s="26">
        <v>180</v>
      </c>
      <c r="D135" s="14">
        <f>1.551*C135/200</f>
        <v>1.3959000000000001</v>
      </c>
      <c r="E135" s="14">
        <f>1.58488*C135/200</f>
        <v>1.426392</v>
      </c>
      <c r="F135" s="14">
        <f>2.1749*C135/200</f>
        <v>1.95741</v>
      </c>
      <c r="G135" s="14">
        <f>29.16752*C135/200</f>
        <v>26.250767999999997</v>
      </c>
      <c r="H135" s="109" t="s">
        <v>139</v>
      </c>
    </row>
    <row r="136" spans="1:8" ht="15.75">
      <c r="A136" s="219" t="s">
        <v>10</v>
      </c>
      <c r="B136" s="219"/>
      <c r="C136" s="4">
        <v>350</v>
      </c>
      <c r="D136" s="13">
        <f>D133+D134+D135</f>
        <v>7.261673333333333</v>
      </c>
      <c r="E136" s="13">
        <f>E133+E134+E135</f>
        <v>11.864125333333334</v>
      </c>
      <c r="F136" s="13">
        <f>F133+F134+F135</f>
        <v>35.389439333333335</v>
      </c>
      <c r="G136" s="13">
        <f>G133+G134+G135</f>
        <v>277.45157866666665</v>
      </c>
      <c r="H136" s="162"/>
    </row>
    <row r="137" spans="1:8" ht="15.75">
      <c r="A137" s="4" t="s">
        <v>29</v>
      </c>
      <c r="B137" s="104" t="s">
        <v>41</v>
      </c>
      <c r="C137" s="2">
        <v>150</v>
      </c>
      <c r="D137" s="9">
        <v>0.75</v>
      </c>
      <c r="E137" s="9">
        <v>0.15</v>
      </c>
      <c r="F137" s="9">
        <v>15.15</v>
      </c>
      <c r="G137" s="9">
        <v>69</v>
      </c>
      <c r="H137" s="162" t="s">
        <v>54</v>
      </c>
    </row>
    <row r="138" spans="1:8" ht="15.75">
      <c r="A138" s="98" t="s">
        <v>124</v>
      </c>
      <c r="B138" s="103"/>
      <c r="C138" s="167">
        <v>150</v>
      </c>
      <c r="D138" s="12">
        <f>SUM(D137:D137)</f>
        <v>0.75</v>
      </c>
      <c r="E138" s="12">
        <f>SUM(E137:E137)</f>
        <v>0.15</v>
      </c>
      <c r="F138" s="12">
        <f>SUM(F137:F137)</f>
        <v>15.15</v>
      </c>
      <c r="G138" s="12">
        <f>SUM(G137:G137)</f>
        <v>69</v>
      </c>
      <c r="H138" s="162"/>
    </row>
    <row r="139" spans="1:8" ht="15.75">
      <c r="A139" s="211" t="s">
        <v>11</v>
      </c>
      <c r="B139" s="111" t="s">
        <v>261</v>
      </c>
      <c r="C139" s="32">
        <v>30</v>
      </c>
      <c r="D139" s="14">
        <v>0.40612499999999996</v>
      </c>
      <c r="E139" s="14">
        <v>1.7170980000000002</v>
      </c>
      <c r="F139" s="14">
        <v>2.28228</v>
      </c>
      <c r="G139" s="14">
        <v>26.207502</v>
      </c>
      <c r="H139" s="109" t="s">
        <v>160</v>
      </c>
    </row>
    <row r="140" spans="1:8" ht="51">
      <c r="A140" s="211"/>
      <c r="B140" s="102" t="s">
        <v>236</v>
      </c>
      <c r="C140" s="3" t="s">
        <v>46</v>
      </c>
      <c r="D140" s="7">
        <v>4.35</v>
      </c>
      <c r="E140" s="7">
        <v>6.7</v>
      </c>
      <c r="F140" s="7">
        <v>9.57</v>
      </c>
      <c r="G140" s="7">
        <v>115.96</v>
      </c>
      <c r="H140" s="162" t="s">
        <v>79</v>
      </c>
    </row>
    <row r="141" spans="1:8" ht="38.25">
      <c r="A141" s="211"/>
      <c r="B141" s="102" t="s">
        <v>237</v>
      </c>
      <c r="C141" s="1">
        <v>50</v>
      </c>
      <c r="D141" s="7">
        <v>5.67</v>
      </c>
      <c r="E141" s="7">
        <v>4.27</v>
      </c>
      <c r="F141" s="7">
        <v>4.43</v>
      </c>
      <c r="G141" s="7">
        <v>78.85</v>
      </c>
      <c r="H141" s="162" t="s">
        <v>75</v>
      </c>
    </row>
    <row r="142" spans="1:8" ht="25.5">
      <c r="A142" s="211"/>
      <c r="B142" s="102" t="s">
        <v>161</v>
      </c>
      <c r="C142" s="1">
        <v>110</v>
      </c>
      <c r="D142" s="7">
        <v>3.168335499999999</v>
      </c>
      <c r="E142" s="7">
        <v>2.9911552</v>
      </c>
      <c r="F142" s="7">
        <v>21.675854199999996</v>
      </c>
      <c r="G142" s="7">
        <v>126.3</v>
      </c>
      <c r="H142" s="162" t="s">
        <v>242</v>
      </c>
    </row>
    <row r="143" spans="1:8" ht="25.5">
      <c r="A143" s="211"/>
      <c r="B143" s="106" t="s">
        <v>229</v>
      </c>
      <c r="C143" s="3">
        <v>150</v>
      </c>
      <c r="D143" s="6">
        <v>0.41</v>
      </c>
      <c r="E143" s="6">
        <v>0.06</v>
      </c>
      <c r="F143" s="6">
        <v>17.01</v>
      </c>
      <c r="G143" s="6">
        <v>70.15</v>
      </c>
      <c r="H143" s="162" t="s">
        <v>60</v>
      </c>
    </row>
    <row r="144" spans="1:8" ht="15.75">
      <c r="A144" s="211"/>
      <c r="B144" s="103" t="s">
        <v>12</v>
      </c>
      <c r="C144" s="3">
        <v>20</v>
      </c>
      <c r="D144" s="6">
        <v>1.32</v>
      </c>
      <c r="E144" s="6">
        <v>0.22</v>
      </c>
      <c r="F144" s="6">
        <v>8.2</v>
      </c>
      <c r="G144" s="7">
        <v>40</v>
      </c>
      <c r="H144" s="162" t="s">
        <v>59</v>
      </c>
    </row>
    <row r="145" spans="1:8" ht="15.75">
      <c r="A145" s="211"/>
      <c r="B145" s="103" t="s">
        <v>40</v>
      </c>
      <c r="C145" s="166">
        <v>20</v>
      </c>
      <c r="D145" s="6">
        <f>2.28*C145/30</f>
        <v>1.5199999999999998</v>
      </c>
      <c r="E145" s="6">
        <f>0.24*C145/30</f>
        <v>0.16</v>
      </c>
      <c r="F145" s="6">
        <f>14.76*C145/30</f>
        <v>9.84</v>
      </c>
      <c r="G145" s="6">
        <f>70.5*C145/30</f>
        <v>47</v>
      </c>
      <c r="H145" s="162" t="s">
        <v>58</v>
      </c>
    </row>
    <row r="146" spans="1:8" ht="15.75">
      <c r="A146" s="219" t="s">
        <v>13</v>
      </c>
      <c r="B146" s="219"/>
      <c r="C146" s="4">
        <v>550</v>
      </c>
      <c r="D146" s="13">
        <f>SUM(D139:D145)</f>
        <v>16.8444605</v>
      </c>
      <c r="E146" s="13">
        <f>SUM(E139:E145)</f>
        <v>16.1182532</v>
      </c>
      <c r="F146" s="13">
        <f>SUM(F139:F145)</f>
        <v>73.0081342</v>
      </c>
      <c r="G146" s="13">
        <f>SUM(G139:G145)</f>
        <v>504.46750199999997</v>
      </c>
      <c r="H146" s="162"/>
    </row>
    <row r="147" spans="1:8" ht="25.5">
      <c r="A147" s="210" t="s">
        <v>109</v>
      </c>
      <c r="B147" s="103" t="s">
        <v>162</v>
      </c>
      <c r="C147" s="1">
        <v>50</v>
      </c>
      <c r="D147" s="7">
        <v>6.132560000000001</v>
      </c>
      <c r="E147" s="7">
        <v>4.6948</v>
      </c>
      <c r="F147" s="7">
        <v>7.1007299999999995</v>
      </c>
      <c r="G147" s="7">
        <v>95</v>
      </c>
      <c r="H147" s="162" t="s">
        <v>244</v>
      </c>
    </row>
    <row r="148" spans="1:8" ht="38.25">
      <c r="A148" s="210"/>
      <c r="B148" s="103" t="s">
        <v>192</v>
      </c>
      <c r="C148" s="1">
        <v>110</v>
      </c>
      <c r="D148" s="7">
        <v>2.14</v>
      </c>
      <c r="E148" s="7">
        <v>4.31</v>
      </c>
      <c r="F148" s="7">
        <v>11.82</v>
      </c>
      <c r="G148" s="7">
        <v>94.66</v>
      </c>
      <c r="H148" s="162" t="s">
        <v>77</v>
      </c>
    </row>
    <row r="149" spans="1:8" ht="25.5">
      <c r="A149" s="210"/>
      <c r="B149" s="103" t="s">
        <v>189</v>
      </c>
      <c r="C149" s="3">
        <v>150</v>
      </c>
      <c r="D149" s="6">
        <f>0.48*C149/150</f>
        <v>0.48</v>
      </c>
      <c r="E149" s="6">
        <f>0.2*C149/150</f>
        <v>0.2</v>
      </c>
      <c r="F149" s="6">
        <f>12.95*C149/150</f>
        <v>12.95</v>
      </c>
      <c r="G149" s="6">
        <f>55.52*C149/150</f>
        <v>55.52</v>
      </c>
      <c r="H149" s="162" t="s">
        <v>70</v>
      </c>
    </row>
    <row r="150" spans="1:8" ht="15.75">
      <c r="A150" s="210"/>
      <c r="B150" s="103" t="s">
        <v>12</v>
      </c>
      <c r="C150" s="3">
        <v>20</v>
      </c>
      <c r="D150" s="6">
        <v>1.32</v>
      </c>
      <c r="E150" s="6">
        <v>0.22</v>
      </c>
      <c r="F150" s="6">
        <v>8.2</v>
      </c>
      <c r="G150" s="7">
        <v>40</v>
      </c>
      <c r="H150" s="162" t="s">
        <v>59</v>
      </c>
    </row>
    <row r="151" spans="1:8" ht="15.75">
      <c r="A151" s="210"/>
      <c r="B151" s="104" t="s">
        <v>163</v>
      </c>
      <c r="C151" s="26">
        <v>30</v>
      </c>
      <c r="D151" s="35">
        <f>2*30/50</f>
        <v>1.2</v>
      </c>
      <c r="E151" s="35">
        <f>13*30/50</f>
        <v>7.8</v>
      </c>
      <c r="F151" s="35">
        <f>32.5*30/50</f>
        <v>19.5</v>
      </c>
      <c r="G151" s="35">
        <f>127.5*30/25</f>
        <v>153</v>
      </c>
      <c r="H151" s="162" t="s">
        <v>117</v>
      </c>
    </row>
    <row r="152" spans="1:8" ht="15.75">
      <c r="A152" s="212" t="s">
        <v>110</v>
      </c>
      <c r="B152" s="212"/>
      <c r="C152" s="4">
        <v>360</v>
      </c>
      <c r="D152" s="13">
        <f>SUM(D147:D151)</f>
        <v>11.27256</v>
      </c>
      <c r="E152" s="13">
        <f>SUM(E147:E151)</f>
        <v>17.2248</v>
      </c>
      <c r="F152" s="13">
        <f>SUM(F147:F151)</f>
        <v>59.57073</v>
      </c>
      <c r="G152" s="13">
        <f>SUM(G147:G151)</f>
        <v>438.18</v>
      </c>
      <c r="H152" s="162"/>
    </row>
    <row r="153" spans="1:8" ht="15.75">
      <c r="A153" s="184" t="s">
        <v>22</v>
      </c>
      <c r="B153" s="116"/>
      <c r="C153" s="19">
        <f>C136+C138+C146+C152</f>
        <v>1410</v>
      </c>
      <c r="D153" s="19">
        <f>D136+D138+D146+D152</f>
        <v>36.12869383333334</v>
      </c>
      <c r="E153" s="19">
        <f>E136+E138+E146+E152</f>
        <v>45.35717853333334</v>
      </c>
      <c r="F153" s="19">
        <f>F136+F138+F146+F152</f>
        <v>183.11830353333335</v>
      </c>
      <c r="G153" s="19">
        <f>G136+G138+G146+G152</f>
        <v>1289.0990806666666</v>
      </c>
      <c r="H153" s="171"/>
    </row>
    <row r="154" spans="1:8" ht="15.75">
      <c r="A154" s="213" t="s">
        <v>23</v>
      </c>
      <c r="B154" s="213"/>
      <c r="C154" s="213"/>
      <c r="D154" s="213"/>
      <c r="E154" s="213"/>
      <c r="F154" s="213"/>
      <c r="G154" s="213"/>
      <c r="H154" s="213"/>
    </row>
    <row r="155" spans="1:8" ht="25.5">
      <c r="A155" s="211" t="s">
        <v>9</v>
      </c>
      <c r="B155" s="102" t="s">
        <v>295</v>
      </c>
      <c r="C155" s="3">
        <v>135</v>
      </c>
      <c r="D155" s="6">
        <f>5.26635*C155/150</f>
        <v>4.739715</v>
      </c>
      <c r="E155" s="6">
        <f>2.3694*C155/150</f>
        <v>2.13246</v>
      </c>
      <c r="F155" s="6">
        <f>25.139205*C155/150</f>
        <v>22.6252845</v>
      </c>
      <c r="G155" s="6">
        <v>127.61</v>
      </c>
      <c r="H155" s="189" t="s">
        <v>83</v>
      </c>
    </row>
    <row r="156" spans="1:8" ht="25.5">
      <c r="A156" s="211"/>
      <c r="B156" s="102" t="s">
        <v>222</v>
      </c>
      <c r="C156" s="170" t="s">
        <v>134</v>
      </c>
      <c r="D156" s="7">
        <v>4.359999999999999</v>
      </c>
      <c r="E156" s="7">
        <v>7.375</v>
      </c>
      <c r="F156" s="7">
        <v>14.665</v>
      </c>
      <c r="G156" s="7">
        <v>138</v>
      </c>
      <c r="H156" s="165" t="s">
        <v>51</v>
      </c>
    </row>
    <row r="157" spans="1:8" ht="15.75">
      <c r="A157" s="211"/>
      <c r="B157" s="119" t="s">
        <v>225</v>
      </c>
      <c r="C157" s="170" t="s">
        <v>47</v>
      </c>
      <c r="D157" s="10">
        <v>0.0376</v>
      </c>
      <c r="E157" s="10">
        <v>0.008976000000000001</v>
      </c>
      <c r="F157" s="10">
        <v>6.818630000000001</v>
      </c>
      <c r="G157" s="7">
        <v>29.34</v>
      </c>
      <c r="H157" s="162" t="s">
        <v>53</v>
      </c>
    </row>
    <row r="158" spans="1:8" ht="15.75">
      <c r="A158" s="219" t="s">
        <v>10</v>
      </c>
      <c r="B158" s="219"/>
      <c r="C158" s="4">
        <v>350</v>
      </c>
      <c r="D158" s="13">
        <f>SUM(D155:D157)</f>
        <v>9.137315</v>
      </c>
      <c r="E158" s="13">
        <f>SUM(E155:E157)</f>
        <v>9.516436</v>
      </c>
      <c r="F158" s="13">
        <f>SUM(F155:F157)</f>
        <v>44.1089145</v>
      </c>
      <c r="G158" s="13">
        <f>SUM(G155:G157)</f>
        <v>294.95</v>
      </c>
      <c r="H158" s="162"/>
    </row>
    <row r="159" spans="1:8" ht="15.75">
      <c r="A159" s="4" t="s">
        <v>38</v>
      </c>
      <c r="B159" s="104" t="s">
        <v>293</v>
      </c>
      <c r="C159" s="2">
        <v>100</v>
      </c>
      <c r="D159" s="9">
        <v>0.8</v>
      </c>
      <c r="E159" s="9">
        <v>0.3</v>
      </c>
      <c r="F159" s="9">
        <v>9.6</v>
      </c>
      <c r="G159" s="9">
        <v>42</v>
      </c>
      <c r="H159" s="175" t="s">
        <v>64</v>
      </c>
    </row>
    <row r="160" spans="1:8" ht="15.75">
      <c r="A160" s="211" t="s">
        <v>11</v>
      </c>
      <c r="B160" s="102" t="s">
        <v>275</v>
      </c>
      <c r="C160" s="32">
        <v>30</v>
      </c>
      <c r="D160" s="14">
        <v>0.57</v>
      </c>
      <c r="E160" s="14">
        <v>2.67</v>
      </c>
      <c r="F160" s="14">
        <v>2.31</v>
      </c>
      <c r="G160" s="14">
        <v>35.7</v>
      </c>
      <c r="H160" s="162" t="s">
        <v>252</v>
      </c>
    </row>
    <row r="161" spans="1:8" ht="25.5">
      <c r="A161" s="211"/>
      <c r="B161" s="106" t="s">
        <v>250</v>
      </c>
      <c r="C161" s="32" t="s">
        <v>42</v>
      </c>
      <c r="D161" s="14">
        <v>1.45</v>
      </c>
      <c r="E161" s="14">
        <v>2.42</v>
      </c>
      <c r="F161" s="14">
        <v>10.77</v>
      </c>
      <c r="G161" s="14">
        <v>70.74</v>
      </c>
      <c r="H161" s="32" t="s">
        <v>249</v>
      </c>
    </row>
    <row r="162" spans="1:8" ht="25.5">
      <c r="A162" s="211"/>
      <c r="B162" s="102" t="s">
        <v>216</v>
      </c>
      <c r="C162" s="26">
        <v>150</v>
      </c>
      <c r="D162" s="117">
        <f>13.86*C162/180</f>
        <v>11.55</v>
      </c>
      <c r="E162" s="117">
        <f>13.72*C162/180</f>
        <v>11.433333333333334</v>
      </c>
      <c r="F162" s="117">
        <f>36.01*C162/180</f>
        <v>30.008333333333333</v>
      </c>
      <c r="G162" s="117">
        <f>323.02*C162/180</f>
        <v>269.18333333333334</v>
      </c>
      <c r="H162" s="109" t="s">
        <v>165</v>
      </c>
    </row>
    <row r="163" spans="1:8" ht="25.5">
      <c r="A163" s="211"/>
      <c r="B163" s="106" t="s">
        <v>219</v>
      </c>
      <c r="C163" s="3">
        <v>150</v>
      </c>
      <c r="D163" s="6">
        <v>0.11</v>
      </c>
      <c r="E163" s="6">
        <v>0.11</v>
      </c>
      <c r="F163" s="6">
        <v>11.75</v>
      </c>
      <c r="G163" s="6">
        <v>48.5</v>
      </c>
      <c r="H163" s="162" t="s">
        <v>72</v>
      </c>
    </row>
    <row r="164" spans="1:8" ht="15.75">
      <c r="A164" s="211"/>
      <c r="B164" s="103" t="s">
        <v>12</v>
      </c>
      <c r="C164" s="3">
        <v>20</v>
      </c>
      <c r="D164" s="6">
        <v>1.32</v>
      </c>
      <c r="E164" s="6">
        <v>0.22</v>
      </c>
      <c r="F164" s="6">
        <v>8.2</v>
      </c>
      <c r="G164" s="7">
        <v>40</v>
      </c>
      <c r="H164" s="162" t="s">
        <v>59</v>
      </c>
    </row>
    <row r="165" spans="1:8" ht="15.75">
      <c r="A165" s="211"/>
      <c r="B165" s="103" t="s">
        <v>40</v>
      </c>
      <c r="C165" s="166">
        <v>20</v>
      </c>
      <c r="D165" s="6">
        <f>2.28*C165/30</f>
        <v>1.5199999999999998</v>
      </c>
      <c r="E165" s="6">
        <f>0.24*C165/30</f>
        <v>0.16</v>
      </c>
      <c r="F165" s="6">
        <f>14.76*C165/30</f>
        <v>9.84</v>
      </c>
      <c r="G165" s="6">
        <f>70.5*C165/30</f>
        <v>47</v>
      </c>
      <c r="H165" s="162" t="s">
        <v>58</v>
      </c>
    </row>
    <row r="166" spans="1:8" ht="15.75">
      <c r="A166" s="219" t="s">
        <v>13</v>
      </c>
      <c r="B166" s="219"/>
      <c r="C166" s="4">
        <v>540</v>
      </c>
      <c r="D166" s="13">
        <f>SUM(D160:D165)</f>
        <v>16.52</v>
      </c>
      <c r="E166" s="13">
        <f>SUM(E160:E165)</f>
        <v>17.013333333333332</v>
      </c>
      <c r="F166" s="13">
        <f>SUM(F160:F165)</f>
        <v>72.87833333333333</v>
      </c>
      <c r="G166" s="13">
        <f>SUM(G160:G165)</f>
        <v>511.12333333333333</v>
      </c>
      <c r="H166" s="162"/>
    </row>
    <row r="167" spans="1:8" ht="25.5">
      <c r="A167" s="210" t="s">
        <v>109</v>
      </c>
      <c r="B167" s="102" t="s">
        <v>265</v>
      </c>
      <c r="C167" s="1" t="s">
        <v>145</v>
      </c>
      <c r="D167" s="7">
        <v>15.661743999999999</v>
      </c>
      <c r="E167" s="7">
        <v>7.128991999999999</v>
      </c>
      <c r="F167" s="7">
        <v>30.733008</v>
      </c>
      <c r="G167" s="7">
        <v>247.1</v>
      </c>
      <c r="H167" s="162" t="s">
        <v>121</v>
      </c>
    </row>
    <row r="168" spans="1:8" ht="15.75">
      <c r="A168" s="210"/>
      <c r="B168" s="106" t="s">
        <v>131</v>
      </c>
      <c r="C168" s="3">
        <v>200</v>
      </c>
      <c r="D168" s="6">
        <f>4.35*C168/150</f>
        <v>5.799999999999999</v>
      </c>
      <c r="E168" s="6">
        <f>4.8*C168/150</f>
        <v>6.4</v>
      </c>
      <c r="F168" s="6">
        <f>7.05*C168/150</f>
        <v>9.4</v>
      </c>
      <c r="G168" s="7">
        <f>90*C168/150</f>
        <v>120</v>
      </c>
      <c r="H168" s="162" t="s">
        <v>61</v>
      </c>
    </row>
    <row r="169" spans="1:8" ht="15.75">
      <c r="A169" s="210"/>
      <c r="B169" s="113" t="s">
        <v>116</v>
      </c>
      <c r="C169" s="26">
        <v>11</v>
      </c>
      <c r="D169" s="35">
        <v>0.8</v>
      </c>
      <c r="E169" s="35">
        <v>2.1</v>
      </c>
      <c r="F169" s="35">
        <v>7.5</v>
      </c>
      <c r="G169" s="35">
        <v>52</v>
      </c>
      <c r="H169" s="114" t="s">
        <v>117</v>
      </c>
    </row>
    <row r="170" spans="1:8" ht="15.75">
      <c r="A170" s="219" t="s">
        <v>110</v>
      </c>
      <c r="B170" s="219"/>
      <c r="C170" s="4">
        <v>330</v>
      </c>
      <c r="D170" s="13">
        <f>SUM(D167:D169)</f>
        <v>22.261743999999997</v>
      </c>
      <c r="E170" s="13">
        <f>SUM(E167:E169)</f>
        <v>15.628991999999998</v>
      </c>
      <c r="F170" s="13">
        <f>SUM(F167:F169)</f>
        <v>47.633008000000004</v>
      </c>
      <c r="G170" s="13">
        <f>SUM(G167:G169)</f>
        <v>419.1</v>
      </c>
      <c r="H170" s="162"/>
    </row>
    <row r="171" spans="1:8" ht="15.75">
      <c r="A171" s="222" t="s">
        <v>24</v>
      </c>
      <c r="B171" s="222"/>
      <c r="C171" s="19">
        <f>C158+C159+C166+C170</f>
        <v>1320</v>
      </c>
      <c r="D171" s="19">
        <f>D158+D159+D166+D170</f>
        <v>48.719059</v>
      </c>
      <c r="E171" s="19">
        <f>E158+E159+E166+E170</f>
        <v>42.45876133333333</v>
      </c>
      <c r="F171" s="19">
        <f>F158+F159+F166+F170</f>
        <v>174.22025583333334</v>
      </c>
      <c r="G171" s="19">
        <f>G158+G159+G166+G170</f>
        <v>1267.1733333333332</v>
      </c>
      <c r="H171" s="185"/>
    </row>
    <row r="172" spans="1:8" ht="15.75">
      <c r="A172" s="213" t="s">
        <v>25</v>
      </c>
      <c r="B172" s="213"/>
      <c r="C172" s="213"/>
      <c r="D172" s="213"/>
      <c r="E172" s="213"/>
      <c r="F172" s="213"/>
      <c r="G172" s="213"/>
      <c r="H172" s="213"/>
    </row>
    <row r="173" spans="1:8" ht="25.5">
      <c r="A173" s="211" t="s">
        <v>9</v>
      </c>
      <c r="B173" s="102" t="s">
        <v>258</v>
      </c>
      <c r="C173" s="3">
        <v>135</v>
      </c>
      <c r="D173" s="6">
        <f>3.57*C173/130</f>
        <v>3.707307692307692</v>
      </c>
      <c r="E173" s="6">
        <f>2.95*C173/130</f>
        <v>3.0634615384615387</v>
      </c>
      <c r="F173" s="6">
        <f>11.49*C173/130</f>
        <v>11.931923076923077</v>
      </c>
      <c r="G173" s="6">
        <f>83.77*C173/130</f>
        <v>86.99192307692307</v>
      </c>
      <c r="H173" s="165" t="s">
        <v>65</v>
      </c>
    </row>
    <row r="174" spans="1:8" ht="25.5">
      <c r="A174" s="211"/>
      <c r="B174" s="102" t="s">
        <v>222</v>
      </c>
      <c r="C174" s="170" t="s">
        <v>134</v>
      </c>
      <c r="D174" s="7">
        <v>4.359999999999999</v>
      </c>
      <c r="E174" s="7">
        <v>7.375</v>
      </c>
      <c r="F174" s="7">
        <v>14.665</v>
      </c>
      <c r="G174" s="7">
        <v>138</v>
      </c>
      <c r="H174" s="165" t="s">
        <v>51</v>
      </c>
    </row>
    <row r="175" spans="1:8" ht="25.5">
      <c r="A175" s="211"/>
      <c r="B175" s="103" t="s">
        <v>185</v>
      </c>
      <c r="C175" s="33" t="s">
        <v>47</v>
      </c>
      <c r="D175" s="14">
        <f>1.62432*C175/150</f>
        <v>1.9491839999999998</v>
      </c>
      <c r="E175" s="14">
        <f>1.66144*C175/150</f>
        <v>1.9937280000000002</v>
      </c>
      <c r="F175" s="14">
        <f>9.03266*C175/150</f>
        <v>10.839191999999999</v>
      </c>
      <c r="G175" s="14">
        <f>57.58088*C175/150</f>
        <v>69.097056</v>
      </c>
      <c r="H175" s="109" t="s">
        <v>129</v>
      </c>
    </row>
    <row r="176" spans="1:8" ht="15.75">
      <c r="A176" s="219" t="s">
        <v>10</v>
      </c>
      <c r="B176" s="219"/>
      <c r="C176" s="4">
        <v>350</v>
      </c>
      <c r="D176" s="13">
        <f>SUM(D173:D175)</f>
        <v>10.016491692307692</v>
      </c>
      <c r="E176" s="13">
        <f>SUM(E173:E175)</f>
        <v>12.43218953846154</v>
      </c>
      <c r="F176" s="13">
        <f>SUM(F173:F175)</f>
        <v>37.43611507692307</v>
      </c>
      <c r="G176" s="13">
        <f>SUM(G173:G175)</f>
        <v>294.08897907692307</v>
      </c>
      <c r="H176" s="162"/>
    </row>
    <row r="177" spans="1:8" ht="15.75">
      <c r="A177" s="98" t="s">
        <v>28</v>
      </c>
      <c r="B177" s="104" t="s">
        <v>296</v>
      </c>
      <c r="C177" s="2">
        <v>100</v>
      </c>
      <c r="D177" s="9">
        <v>0.4</v>
      </c>
      <c r="E177" s="9">
        <v>0.3</v>
      </c>
      <c r="F177" s="9">
        <v>10.3</v>
      </c>
      <c r="G177" s="9">
        <v>47</v>
      </c>
      <c r="H177" s="175" t="s">
        <v>64</v>
      </c>
    </row>
    <row r="178" spans="1:8" ht="15.75">
      <c r="A178" s="211" t="s">
        <v>11</v>
      </c>
      <c r="B178" s="180" t="s">
        <v>260</v>
      </c>
      <c r="C178" s="1">
        <v>30</v>
      </c>
      <c r="D178" s="7">
        <v>0.48</v>
      </c>
      <c r="E178" s="7">
        <v>0.12</v>
      </c>
      <c r="F178" s="7">
        <v>4.29</v>
      </c>
      <c r="G178" s="7">
        <v>20.7</v>
      </c>
      <c r="H178" s="162" t="s">
        <v>251</v>
      </c>
    </row>
    <row r="179" spans="1:8" ht="38.25">
      <c r="A179" s="211"/>
      <c r="B179" s="102" t="s">
        <v>262</v>
      </c>
      <c r="C179" s="3" t="s">
        <v>166</v>
      </c>
      <c r="D179" s="11">
        <v>3.6522249999999996</v>
      </c>
      <c r="E179" s="11">
        <v>4.579339999999999</v>
      </c>
      <c r="F179" s="11">
        <v>6.6196625</v>
      </c>
      <c r="G179" s="11">
        <v>82.5</v>
      </c>
      <c r="H179" s="162" t="s">
        <v>248</v>
      </c>
    </row>
    <row r="180" spans="1:8" ht="25.5">
      <c r="A180" s="211"/>
      <c r="B180" s="102" t="s">
        <v>245</v>
      </c>
      <c r="C180" s="32">
        <v>50</v>
      </c>
      <c r="D180" s="14">
        <v>6.5549333333333335</v>
      </c>
      <c r="E180" s="14">
        <v>8.9628</v>
      </c>
      <c r="F180" s="14">
        <v>6.37</v>
      </c>
      <c r="G180" s="14">
        <v>132</v>
      </c>
      <c r="H180" s="162" t="s">
        <v>246</v>
      </c>
    </row>
    <row r="181" spans="1:8" ht="25.5">
      <c r="A181" s="211"/>
      <c r="B181" s="102" t="s">
        <v>228</v>
      </c>
      <c r="C181" s="1">
        <v>110</v>
      </c>
      <c r="D181" s="7">
        <f>2.45*C181/120</f>
        <v>2.245833333333333</v>
      </c>
      <c r="E181" s="7">
        <f>3.43*C181/120</f>
        <v>3.1441666666666666</v>
      </c>
      <c r="F181" s="7">
        <f>16.05*C181/120</f>
        <v>14.7125</v>
      </c>
      <c r="G181" s="7">
        <v>95</v>
      </c>
      <c r="H181" s="162" t="s">
        <v>57</v>
      </c>
    </row>
    <row r="182" spans="1:8" ht="25.5">
      <c r="A182" s="211"/>
      <c r="B182" s="106" t="s">
        <v>229</v>
      </c>
      <c r="C182" s="3">
        <v>150</v>
      </c>
      <c r="D182" s="6">
        <v>0.41</v>
      </c>
      <c r="E182" s="6">
        <v>0.06</v>
      </c>
      <c r="F182" s="6">
        <v>17.01</v>
      </c>
      <c r="G182" s="6">
        <v>70.15</v>
      </c>
      <c r="H182" s="162" t="s">
        <v>60</v>
      </c>
    </row>
    <row r="183" spans="1:8" ht="15.75">
      <c r="A183" s="211"/>
      <c r="B183" s="103" t="s">
        <v>12</v>
      </c>
      <c r="C183" s="3">
        <v>20</v>
      </c>
      <c r="D183" s="6">
        <v>1.32</v>
      </c>
      <c r="E183" s="6">
        <v>0.22</v>
      </c>
      <c r="F183" s="6">
        <v>8.2</v>
      </c>
      <c r="G183" s="7">
        <v>40</v>
      </c>
      <c r="H183" s="162" t="s">
        <v>59</v>
      </c>
    </row>
    <row r="184" spans="1:8" ht="15.75">
      <c r="A184" s="211"/>
      <c r="B184" s="103" t="s">
        <v>40</v>
      </c>
      <c r="C184" s="166">
        <v>30</v>
      </c>
      <c r="D184" s="6">
        <v>2.28</v>
      </c>
      <c r="E184" s="6">
        <v>0.24</v>
      </c>
      <c r="F184" s="6">
        <v>14.76</v>
      </c>
      <c r="G184" s="6">
        <v>70.5</v>
      </c>
      <c r="H184" s="162" t="s">
        <v>58</v>
      </c>
    </row>
    <row r="185" spans="1:8" ht="15.75">
      <c r="A185" s="219" t="s">
        <v>13</v>
      </c>
      <c r="B185" s="219"/>
      <c r="C185" s="4">
        <v>570</v>
      </c>
      <c r="D185" s="13">
        <f>SUM(D178:D184)</f>
        <v>16.942991666666668</v>
      </c>
      <c r="E185" s="13">
        <f>SUM(E178:E184)</f>
        <v>17.32630666666666</v>
      </c>
      <c r="F185" s="13">
        <f>SUM(F178:F184)</f>
        <v>71.9621625</v>
      </c>
      <c r="G185" s="13">
        <f>SUM(G178:G184)</f>
        <v>510.85</v>
      </c>
      <c r="H185" s="162"/>
    </row>
    <row r="186" spans="1:8" ht="38.25">
      <c r="A186" s="210" t="s">
        <v>109</v>
      </c>
      <c r="B186" s="111" t="s">
        <v>263</v>
      </c>
      <c r="C186" s="38" t="s">
        <v>118</v>
      </c>
      <c r="D186" s="117">
        <f>17.357194*C186/130</f>
        <v>20.027531538461538</v>
      </c>
      <c r="E186" s="117">
        <f>17.79888*C186/130</f>
        <v>20.53716923076923</v>
      </c>
      <c r="F186" s="117">
        <f>10.713248*C186/130</f>
        <v>12.36144</v>
      </c>
      <c r="G186" s="117">
        <f>272.471688*C186/130</f>
        <v>314.39040923076925</v>
      </c>
      <c r="H186" s="109" t="s">
        <v>168</v>
      </c>
    </row>
    <row r="187" spans="1:8" ht="15.75">
      <c r="A187" s="210"/>
      <c r="B187" s="103" t="s">
        <v>12</v>
      </c>
      <c r="C187" s="3">
        <v>20</v>
      </c>
      <c r="D187" s="6">
        <f>1.32*C187/20</f>
        <v>1.32</v>
      </c>
      <c r="E187" s="6">
        <f>0.22*C187/20</f>
        <v>0.22000000000000003</v>
      </c>
      <c r="F187" s="6">
        <f>8.2*C187/20</f>
        <v>8.2</v>
      </c>
      <c r="G187" s="7">
        <f>40*C187/20</f>
        <v>40</v>
      </c>
      <c r="H187" s="162" t="s">
        <v>59</v>
      </c>
    </row>
    <row r="188" spans="1:8" ht="15.75">
      <c r="A188" s="210"/>
      <c r="B188" s="103" t="s">
        <v>40</v>
      </c>
      <c r="C188" s="166">
        <v>20</v>
      </c>
      <c r="D188" s="6">
        <f>2.28*C188/30</f>
        <v>1.5199999999999998</v>
      </c>
      <c r="E188" s="6">
        <f>0.24*C188/30</f>
        <v>0.16</v>
      </c>
      <c r="F188" s="6">
        <f>14.76*C188/30</f>
        <v>9.84</v>
      </c>
      <c r="G188" s="6">
        <f>70.5*C188/30</f>
        <v>47</v>
      </c>
      <c r="H188" s="162" t="s">
        <v>58</v>
      </c>
    </row>
    <row r="189" spans="1:8" ht="15.75">
      <c r="A189" s="210"/>
      <c r="B189" s="104" t="s">
        <v>225</v>
      </c>
      <c r="C189" s="170" t="s">
        <v>118</v>
      </c>
      <c r="D189" s="10">
        <f>0.0376*C189/180</f>
        <v>0.03133333333333334</v>
      </c>
      <c r="E189" s="10">
        <f>0.008976*C189/180</f>
        <v>0.0074800000000000005</v>
      </c>
      <c r="F189" s="10">
        <f>6.81863*C189/180</f>
        <v>5.682191666666666</v>
      </c>
      <c r="G189" s="7">
        <f>29.34*C189/180</f>
        <v>24.45</v>
      </c>
      <c r="H189" s="162" t="s">
        <v>53</v>
      </c>
    </row>
    <row r="190" spans="1:8" ht="15.75">
      <c r="A190" s="219" t="s">
        <v>110</v>
      </c>
      <c r="B190" s="219"/>
      <c r="C190" s="4">
        <v>340</v>
      </c>
      <c r="D190" s="13">
        <f>SUM(D186:D189)</f>
        <v>22.89886487179487</v>
      </c>
      <c r="E190" s="13">
        <f>SUM(E186:E189)</f>
        <v>20.92464923076923</v>
      </c>
      <c r="F190" s="13">
        <f>SUM(F186:F189)</f>
        <v>36.08363166666666</v>
      </c>
      <c r="G190" s="13">
        <f>SUM(G186:G189)</f>
        <v>425.84040923076924</v>
      </c>
      <c r="H190" s="162"/>
    </row>
    <row r="191" spans="1:8" ht="15.75">
      <c r="A191" s="220" t="s">
        <v>26</v>
      </c>
      <c r="B191" s="220"/>
      <c r="C191" s="19">
        <f>C176+C177+C185+C190</f>
        <v>1360</v>
      </c>
      <c r="D191" s="19">
        <f>D176+D177+D185+D190</f>
        <v>50.25834823076923</v>
      </c>
      <c r="E191" s="19">
        <f>E176+E177+E185+E190</f>
        <v>50.98314543589743</v>
      </c>
      <c r="F191" s="19">
        <f>F176+F177+F185+F190</f>
        <v>155.78190924358972</v>
      </c>
      <c r="G191" s="19">
        <f>G176+G177+G185+G190</f>
        <v>1277.7793883076922</v>
      </c>
      <c r="H191" s="171"/>
    </row>
    <row r="192" spans="1:8" ht="15.75">
      <c r="A192" s="213" t="s">
        <v>36</v>
      </c>
      <c r="B192" s="213"/>
      <c r="C192" s="213"/>
      <c r="D192" s="213"/>
      <c r="E192" s="213"/>
      <c r="F192" s="213"/>
      <c r="G192" s="213"/>
      <c r="H192" s="213"/>
    </row>
    <row r="193" spans="1:8" ht="25.5">
      <c r="A193" s="211" t="s">
        <v>9</v>
      </c>
      <c r="B193" s="102" t="s">
        <v>169</v>
      </c>
      <c r="C193" s="32">
        <v>140</v>
      </c>
      <c r="D193" s="14">
        <f>5.6212*C193/130</f>
        <v>6.053599999999999</v>
      </c>
      <c r="E193" s="14">
        <f>2.3738*C193/130</f>
        <v>2.5564</v>
      </c>
      <c r="F193" s="14">
        <f>23.209277*C193/130</f>
        <v>24.994606</v>
      </c>
      <c r="G193" s="197">
        <f>103.686108*C193/130</f>
        <v>111.66196246153847</v>
      </c>
      <c r="H193" s="191" t="s">
        <v>271</v>
      </c>
    </row>
    <row r="194" spans="1:8" ht="15.75">
      <c r="A194" s="211"/>
      <c r="B194" s="103" t="s">
        <v>184</v>
      </c>
      <c r="C194" s="161" t="s">
        <v>84</v>
      </c>
      <c r="D194" s="6">
        <v>1.58</v>
      </c>
      <c r="E194" s="6">
        <v>7.83</v>
      </c>
      <c r="F194" s="6">
        <v>10.41</v>
      </c>
      <c r="G194" s="10">
        <v>118.5</v>
      </c>
      <c r="H194" s="162" t="s">
        <v>66</v>
      </c>
    </row>
    <row r="195" spans="1:8" ht="15.75">
      <c r="A195" s="211"/>
      <c r="B195" s="102" t="s">
        <v>223</v>
      </c>
      <c r="C195" s="3">
        <v>180</v>
      </c>
      <c r="D195" s="7">
        <v>2.46</v>
      </c>
      <c r="E195" s="7">
        <v>1.86</v>
      </c>
      <c r="F195" s="7">
        <v>11.94</v>
      </c>
      <c r="G195" s="7">
        <v>64</v>
      </c>
      <c r="H195" s="165" t="s">
        <v>78</v>
      </c>
    </row>
    <row r="196" spans="1:8" ht="15.75">
      <c r="A196" s="212" t="s">
        <v>10</v>
      </c>
      <c r="B196" s="212"/>
      <c r="C196" s="4">
        <v>350</v>
      </c>
      <c r="D196" s="13">
        <f>SUM(D193:D195)</f>
        <v>10.093599999999999</v>
      </c>
      <c r="E196" s="13">
        <f>SUM(E193:E195)</f>
        <v>12.2464</v>
      </c>
      <c r="F196" s="13">
        <f>SUM(F193:F195)</f>
        <v>47.344606</v>
      </c>
      <c r="G196" s="13">
        <f>SUM(G193:G195)</f>
        <v>294.16196246153845</v>
      </c>
      <c r="H196" s="162"/>
    </row>
    <row r="197" spans="1:8" ht="15.75">
      <c r="A197" s="98" t="s">
        <v>38</v>
      </c>
      <c r="B197" s="104" t="s">
        <v>43</v>
      </c>
      <c r="C197" s="4">
        <v>150</v>
      </c>
      <c r="D197" s="13">
        <v>4.35</v>
      </c>
      <c r="E197" s="13">
        <v>3.75</v>
      </c>
      <c r="F197" s="13">
        <v>6</v>
      </c>
      <c r="G197" s="13">
        <v>79.5</v>
      </c>
      <c r="H197" s="162" t="s">
        <v>61</v>
      </c>
    </row>
    <row r="198" spans="1:8" ht="15.75">
      <c r="A198" s="211" t="s">
        <v>11</v>
      </c>
      <c r="B198" s="104" t="s">
        <v>281</v>
      </c>
      <c r="C198" s="166">
        <v>30</v>
      </c>
      <c r="D198" s="10">
        <v>0.33</v>
      </c>
      <c r="E198" s="10">
        <v>0.06</v>
      </c>
      <c r="F198" s="10">
        <v>1.14</v>
      </c>
      <c r="G198" s="15">
        <v>7.2</v>
      </c>
      <c r="H198" s="162" t="s">
        <v>55</v>
      </c>
    </row>
    <row r="199" spans="1:8" ht="38.25">
      <c r="A199" s="211"/>
      <c r="B199" s="106" t="s">
        <v>238</v>
      </c>
      <c r="C199" s="1" t="s">
        <v>44</v>
      </c>
      <c r="D199" s="7">
        <v>5.373698</v>
      </c>
      <c r="E199" s="7">
        <v>5.173432</v>
      </c>
      <c r="F199" s="7">
        <v>10.773945000000001</v>
      </c>
      <c r="G199" s="7">
        <v>111.1</v>
      </c>
      <c r="H199" s="162" t="s">
        <v>79</v>
      </c>
    </row>
    <row r="200" spans="1:8" ht="31.5">
      <c r="A200" s="211"/>
      <c r="B200" s="102" t="s">
        <v>309</v>
      </c>
      <c r="C200" s="26">
        <v>60</v>
      </c>
      <c r="D200" s="35">
        <v>8.6098548</v>
      </c>
      <c r="E200" s="35">
        <v>8.4408192</v>
      </c>
      <c r="F200" s="35">
        <v>1.8204732000000001</v>
      </c>
      <c r="G200" s="35">
        <v>117.68868479999999</v>
      </c>
      <c r="H200" s="169" t="s">
        <v>170</v>
      </c>
    </row>
    <row r="201" spans="1:8" ht="38.25">
      <c r="A201" s="211"/>
      <c r="B201" s="103" t="s">
        <v>307</v>
      </c>
      <c r="C201" s="1">
        <v>110</v>
      </c>
      <c r="D201" s="7">
        <v>2.14</v>
      </c>
      <c r="E201" s="7">
        <v>4.31</v>
      </c>
      <c r="F201" s="7">
        <v>11.82</v>
      </c>
      <c r="G201" s="7">
        <v>94.66</v>
      </c>
      <c r="H201" s="162" t="s">
        <v>77</v>
      </c>
    </row>
    <row r="202" spans="1:8" ht="25.5">
      <c r="A202" s="211"/>
      <c r="B202" s="102" t="s">
        <v>173</v>
      </c>
      <c r="C202" s="26">
        <v>150</v>
      </c>
      <c r="D202" s="35">
        <v>0.17099999999999999</v>
      </c>
      <c r="E202" s="35">
        <v>0.0705</v>
      </c>
      <c r="F202" s="35">
        <v>14.860300000000002</v>
      </c>
      <c r="G202" s="35">
        <v>60.7</v>
      </c>
      <c r="H202" s="162" t="s">
        <v>241</v>
      </c>
    </row>
    <row r="203" spans="1:8" ht="15.75">
      <c r="A203" s="211"/>
      <c r="B203" s="103" t="s">
        <v>12</v>
      </c>
      <c r="C203" s="3">
        <v>20</v>
      </c>
      <c r="D203" s="6">
        <v>1.32</v>
      </c>
      <c r="E203" s="6">
        <v>0.22</v>
      </c>
      <c r="F203" s="6">
        <v>8.2</v>
      </c>
      <c r="G203" s="7">
        <v>40</v>
      </c>
      <c r="H203" s="162" t="s">
        <v>59</v>
      </c>
    </row>
    <row r="204" spans="1:8" ht="15.75">
      <c r="A204" s="211"/>
      <c r="B204" s="103" t="s">
        <v>40</v>
      </c>
      <c r="C204" s="166">
        <v>30</v>
      </c>
      <c r="D204" s="6">
        <f>2.28*C204/30</f>
        <v>2.28</v>
      </c>
      <c r="E204" s="6">
        <f>0.24*C204/30</f>
        <v>0.23999999999999996</v>
      </c>
      <c r="F204" s="6">
        <f>14.76*C204/30</f>
        <v>14.76</v>
      </c>
      <c r="G204" s="6">
        <f>70.5*C204/30</f>
        <v>70.5</v>
      </c>
      <c r="H204" s="162" t="s">
        <v>58</v>
      </c>
    </row>
    <row r="205" spans="1:8" ht="15.75">
      <c r="A205" s="219" t="s">
        <v>13</v>
      </c>
      <c r="B205" s="219"/>
      <c r="C205" s="4">
        <v>560</v>
      </c>
      <c r="D205" s="13">
        <f>SUM(D198:D204)</f>
        <v>20.2245528</v>
      </c>
      <c r="E205" s="13">
        <f>SUM(E198:E204)</f>
        <v>18.514751199999996</v>
      </c>
      <c r="F205" s="13">
        <f>SUM(F198:F204)</f>
        <v>63.3747182</v>
      </c>
      <c r="G205" s="13">
        <f>SUM(G198:G204)</f>
        <v>501.84868479999994</v>
      </c>
      <c r="H205" s="162"/>
    </row>
    <row r="206" spans="1:8" ht="51">
      <c r="A206" s="210" t="s">
        <v>109</v>
      </c>
      <c r="B206" s="118" t="s">
        <v>267</v>
      </c>
      <c r="C206" s="166" t="s">
        <v>145</v>
      </c>
      <c r="D206" s="6">
        <v>13.263946666666664</v>
      </c>
      <c r="E206" s="6">
        <v>8.76112</v>
      </c>
      <c r="F206" s="6">
        <v>29.748933333333333</v>
      </c>
      <c r="G206" s="6">
        <v>231</v>
      </c>
      <c r="H206" s="162" t="s">
        <v>171</v>
      </c>
    </row>
    <row r="207" spans="1:8" ht="15.75">
      <c r="A207" s="210"/>
      <c r="B207" s="119" t="s">
        <v>41</v>
      </c>
      <c r="C207" s="3">
        <v>150</v>
      </c>
      <c r="D207" s="15">
        <f>0.75*C207/150</f>
        <v>0.75</v>
      </c>
      <c r="E207" s="15">
        <f>0.15*C207/150</f>
        <v>0.15</v>
      </c>
      <c r="F207" s="15">
        <f>15.15*C207/150</f>
        <v>15.15</v>
      </c>
      <c r="G207" s="15">
        <f>69*C207/150</f>
        <v>69</v>
      </c>
      <c r="H207" s="162" t="s">
        <v>54</v>
      </c>
    </row>
    <row r="208" spans="1:8" ht="38.25">
      <c r="A208" s="210"/>
      <c r="B208" s="102" t="s">
        <v>264</v>
      </c>
      <c r="C208" s="3">
        <v>50</v>
      </c>
      <c r="D208" s="15">
        <v>3.3621920000000003</v>
      </c>
      <c r="E208" s="15">
        <v>3.238834133333333</v>
      </c>
      <c r="F208" s="15">
        <v>30.689210066666668</v>
      </c>
      <c r="G208" s="15">
        <v>135</v>
      </c>
      <c r="H208" s="193" t="s">
        <v>64</v>
      </c>
    </row>
    <row r="209" spans="1:8" ht="15.75">
      <c r="A209" s="219" t="s">
        <v>50</v>
      </c>
      <c r="B209" s="219"/>
      <c r="C209" s="4">
        <v>300</v>
      </c>
      <c r="D209" s="13">
        <f>SUM(D206:D208)</f>
        <v>17.376138666666662</v>
      </c>
      <c r="E209" s="13">
        <f>SUM(E206:E208)</f>
        <v>12.149954133333333</v>
      </c>
      <c r="F209" s="13">
        <f>SUM(F206:F208)</f>
        <v>75.5881434</v>
      </c>
      <c r="G209" s="13">
        <f>SUM(G206:G208)</f>
        <v>435</v>
      </c>
      <c r="H209" s="162"/>
    </row>
    <row r="210" spans="1:8" ht="15.75">
      <c r="A210" s="220" t="s">
        <v>37</v>
      </c>
      <c r="B210" s="220"/>
      <c r="C210" s="19">
        <f>C196+C197+C205+C209</f>
        <v>1360</v>
      </c>
      <c r="D210" s="19">
        <f>D196+D197+D205+D209</f>
        <v>52.044291466666664</v>
      </c>
      <c r="E210" s="19">
        <f>E196+E197+E205+E209</f>
        <v>46.661105333333325</v>
      </c>
      <c r="F210" s="19">
        <f>F196+F197+F205+F209</f>
        <v>192.3074676</v>
      </c>
      <c r="G210" s="19">
        <f>G196+G197+G205+G209</f>
        <v>1310.5106472615385</v>
      </c>
      <c r="H210" s="171"/>
    </row>
    <row r="211" spans="1:8" ht="15.75">
      <c r="A211" s="120"/>
      <c r="B211" s="119"/>
      <c r="C211" s="1"/>
      <c r="D211" s="120"/>
      <c r="E211" s="120"/>
      <c r="F211" s="120"/>
      <c r="G211" s="120"/>
      <c r="H211" s="123"/>
    </row>
    <row r="212" spans="1:8" ht="15">
      <c r="A212" s="234" t="s">
        <v>240</v>
      </c>
      <c r="B212" s="234"/>
      <c r="C212" s="234"/>
      <c r="D212" s="234"/>
      <c r="E212" s="234"/>
      <c r="F212" s="234"/>
      <c r="G212" s="234"/>
      <c r="H212" s="235"/>
    </row>
    <row r="213" spans="1:8" ht="15">
      <c r="A213" s="236"/>
      <c r="B213" s="236"/>
      <c r="C213" s="236"/>
      <c r="D213" s="236"/>
      <c r="E213" s="236"/>
      <c r="F213" s="236"/>
      <c r="G213" s="236"/>
      <c r="H213" s="237"/>
    </row>
    <row r="214" spans="1:8" ht="25.5">
      <c r="A214" s="121" t="s">
        <v>94</v>
      </c>
      <c r="B214" s="122" t="s">
        <v>95</v>
      </c>
      <c r="C214" s="223" t="s">
        <v>239</v>
      </c>
      <c r="D214" s="224"/>
      <c r="E214" s="224"/>
      <c r="F214" s="224"/>
      <c r="G214" s="224"/>
      <c r="H214" s="225"/>
    </row>
    <row r="215" spans="1:8" ht="15.75">
      <c r="A215" s="226" t="s">
        <v>96</v>
      </c>
      <c r="B215" s="228" t="s">
        <v>97</v>
      </c>
      <c r="C215" s="230">
        <v>280</v>
      </c>
      <c r="D215" s="231"/>
      <c r="E215" s="120"/>
      <c r="F215" s="120"/>
      <c r="G215" s="120"/>
      <c r="H215" s="123"/>
    </row>
    <row r="216" spans="1:8" ht="15.75">
      <c r="A216" s="227"/>
      <c r="B216" s="229"/>
      <c r="C216" s="232" t="s">
        <v>98</v>
      </c>
      <c r="D216" s="233"/>
      <c r="E216" s="120"/>
      <c r="F216" s="120"/>
      <c r="G216" s="120"/>
      <c r="H216" s="123"/>
    </row>
    <row r="217" spans="1:8" ht="15.75">
      <c r="A217" s="226" t="s">
        <v>28</v>
      </c>
      <c r="B217" s="228" t="s">
        <v>99</v>
      </c>
      <c r="C217" s="230">
        <v>70</v>
      </c>
      <c r="D217" s="231"/>
      <c r="E217" s="120"/>
      <c r="F217" s="120"/>
      <c r="G217" s="120"/>
      <c r="H217" s="123"/>
    </row>
    <row r="218" spans="1:8" ht="15.75">
      <c r="A218" s="227"/>
      <c r="B218" s="229"/>
      <c r="C218" s="232" t="s">
        <v>100</v>
      </c>
      <c r="D218" s="233"/>
      <c r="E218" s="120"/>
      <c r="F218" s="120"/>
      <c r="G218" s="120"/>
      <c r="H218" s="123"/>
    </row>
    <row r="219" spans="1:8" ht="15.75">
      <c r="A219" s="226" t="s">
        <v>11</v>
      </c>
      <c r="B219" s="228" t="s">
        <v>101</v>
      </c>
      <c r="C219" s="230">
        <v>490</v>
      </c>
      <c r="D219" s="231"/>
      <c r="E219" s="120"/>
      <c r="F219" s="120"/>
      <c r="G219" s="120"/>
      <c r="H219" s="123"/>
    </row>
    <row r="220" spans="1:8" ht="15.75">
      <c r="A220" s="227"/>
      <c r="B220" s="229"/>
      <c r="C220" s="232" t="s">
        <v>102</v>
      </c>
      <c r="D220" s="233"/>
      <c r="E220" s="120"/>
      <c r="F220" s="120"/>
      <c r="G220" s="120"/>
      <c r="H220" s="123"/>
    </row>
    <row r="221" spans="1:8" ht="15.75">
      <c r="A221" s="240" t="s">
        <v>109</v>
      </c>
      <c r="B221" s="228" t="s">
        <v>112</v>
      </c>
      <c r="C221" s="230">
        <v>420</v>
      </c>
      <c r="D221" s="231"/>
      <c r="E221" s="120"/>
      <c r="F221" s="120"/>
      <c r="G221" s="120"/>
      <c r="H221" s="123"/>
    </row>
    <row r="222" spans="1:8" ht="15.75">
      <c r="A222" s="241"/>
      <c r="B222" s="229"/>
      <c r="C222" s="232" t="s">
        <v>113</v>
      </c>
      <c r="D222" s="233"/>
      <c r="E222" s="120"/>
      <c r="F222" s="120"/>
      <c r="G222" s="120"/>
      <c r="H222" s="123"/>
    </row>
    <row r="223" spans="1:8" ht="15.75">
      <c r="A223" s="242"/>
      <c r="B223" s="243"/>
      <c r="C223" s="243"/>
      <c r="D223" s="243"/>
      <c r="E223" s="243"/>
      <c r="F223" s="243"/>
      <c r="G223" s="243"/>
      <c r="H223" s="244"/>
    </row>
    <row r="224" spans="1:8" ht="15.75">
      <c r="A224" s="238" t="s">
        <v>103</v>
      </c>
      <c r="B224" s="239"/>
      <c r="C224" s="23"/>
      <c r="D224" s="23">
        <f>(D14+D35+D55+D74+D94+D115+D136+D158+D176+D196)/10</f>
        <v>9.074508221091811</v>
      </c>
      <c r="E224" s="23">
        <f>(E14+E35+E55+E74+E94+E115+E136+E158+E176+E196)/10</f>
        <v>11.629240282216708</v>
      </c>
      <c r="F224" s="23">
        <f>(F14+F35+F55+F74+F94+F115+F136+F158+F176+F196)/10</f>
        <v>43.50902970392887</v>
      </c>
      <c r="G224" s="23">
        <f>(G14+G35+G55+G74+G94+G115+G136+G158+G176+G196)/10</f>
        <v>292.35374002051276</v>
      </c>
      <c r="H224" s="124"/>
    </row>
    <row r="225" spans="1:8" ht="15.75">
      <c r="A225" s="238" t="s">
        <v>104</v>
      </c>
      <c r="B225" s="239"/>
      <c r="C225" s="23"/>
      <c r="D225" s="23">
        <f>(D23+D44+D64+D82+D103+D124+D146+D166+D185+D205)/10</f>
        <v>18.955952153333335</v>
      </c>
      <c r="E225" s="23">
        <f>(E23+E44+E64+E82+E103+E124+E146+E166+E185+E205)/10</f>
        <v>18.854030206666664</v>
      </c>
      <c r="F225" s="23">
        <f>(F23+F44+F64+F82+F103+F124+F146+F166+F185+F205)/10</f>
        <v>66.38119590333334</v>
      </c>
      <c r="G225" s="23">
        <f>(G23+G44+G64+G82+G103+G124+G146+G166+G185+G205)/10</f>
        <v>507.2906788133334</v>
      </c>
      <c r="H225" s="124"/>
    </row>
    <row r="226" spans="1:8" ht="15.75">
      <c r="A226" s="238" t="s">
        <v>111</v>
      </c>
      <c r="B226" s="239"/>
      <c r="C226" s="23"/>
      <c r="D226" s="23">
        <f aca="true" t="shared" si="0" ref="D226:G227">(D29+D49+D68+D88+D107+D130+D152+D170+D190+D209)/10</f>
        <v>18.18793718051282</v>
      </c>
      <c r="E226" s="23">
        <f t="shared" si="0"/>
        <v>15.165323349743588</v>
      </c>
      <c r="F226" s="23">
        <f t="shared" si="0"/>
        <v>55.14139851333333</v>
      </c>
      <c r="G226" s="23">
        <f t="shared" si="0"/>
        <v>423.91328018461536</v>
      </c>
      <c r="H226" s="124"/>
    </row>
    <row r="227" spans="1:8" ht="15.75">
      <c r="A227" s="238" t="s">
        <v>105</v>
      </c>
      <c r="B227" s="239"/>
      <c r="C227" s="23"/>
      <c r="D227" s="23">
        <f t="shared" si="0"/>
        <v>47.62839755493796</v>
      </c>
      <c r="E227" s="23">
        <f t="shared" si="0"/>
        <v>46.663593838626966</v>
      </c>
      <c r="F227" s="23">
        <f t="shared" si="0"/>
        <v>176.21162412059556</v>
      </c>
      <c r="G227" s="23">
        <f t="shared" si="0"/>
        <v>1285.2076990184617</v>
      </c>
      <c r="H227" s="124"/>
    </row>
  </sheetData>
  <sheetProtection/>
  <mergeCells count="110">
    <mergeCell ref="A226:B226"/>
    <mergeCell ref="A227:B227"/>
    <mergeCell ref="A221:A222"/>
    <mergeCell ref="B221:B222"/>
    <mergeCell ref="C221:D221"/>
    <mergeCell ref="C222:D222"/>
    <mergeCell ref="A224:B224"/>
    <mergeCell ref="A225:B225"/>
    <mergeCell ref="A223:H223"/>
    <mergeCell ref="A217:A218"/>
    <mergeCell ref="B217:B218"/>
    <mergeCell ref="C217:D217"/>
    <mergeCell ref="C218:D218"/>
    <mergeCell ref="A219:A220"/>
    <mergeCell ref="B219:B220"/>
    <mergeCell ref="C219:D219"/>
    <mergeCell ref="C220:D220"/>
    <mergeCell ref="C214:H214"/>
    <mergeCell ref="A215:A216"/>
    <mergeCell ref="B215:B216"/>
    <mergeCell ref="C215:D215"/>
    <mergeCell ref="C216:D216"/>
    <mergeCell ref="A212:H213"/>
    <mergeCell ref="A196:B196"/>
    <mergeCell ref="A198:A204"/>
    <mergeCell ref="A205:B205"/>
    <mergeCell ref="A206:A208"/>
    <mergeCell ref="A209:B209"/>
    <mergeCell ref="A210:B210"/>
    <mergeCell ref="A185:B185"/>
    <mergeCell ref="A186:A189"/>
    <mergeCell ref="A190:B190"/>
    <mergeCell ref="A191:B191"/>
    <mergeCell ref="A192:H192"/>
    <mergeCell ref="A193:A195"/>
    <mergeCell ref="A170:B170"/>
    <mergeCell ref="A171:B171"/>
    <mergeCell ref="A172:H172"/>
    <mergeCell ref="A173:A175"/>
    <mergeCell ref="A176:B176"/>
    <mergeCell ref="A178:A184"/>
    <mergeCell ref="A154:H154"/>
    <mergeCell ref="A155:A157"/>
    <mergeCell ref="A158:B158"/>
    <mergeCell ref="A160:A165"/>
    <mergeCell ref="A166:B166"/>
    <mergeCell ref="A167:A169"/>
    <mergeCell ref="A133:A135"/>
    <mergeCell ref="A136:B136"/>
    <mergeCell ref="A139:A145"/>
    <mergeCell ref="A146:B146"/>
    <mergeCell ref="A152:B152"/>
    <mergeCell ref="A147:A151"/>
    <mergeCell ref="A115:B115"/>
    <mergeCell ref="A117:A123"/>
    <mergeCell ref="A124:B124"/>
    <mergeCell ref="A130:B130"/>
    <mergeCell ref="A132:H132"/>
    <mergeCell ref="A125:A129"/>
    <mergeCell ref="A103:B103"/>
    <mergeCell ref="A104:A106"/>
    <mergeCell ref="A107:B107"/>
    <mergeCell ref="A110:H110"/>
    <mergeCell ref="A111:H111"/>
    <mergeCell ref="A112:A114"/>
    <mergeCell ref="A109:C109"/>
    <mergeCell ref="A88:B88"/>
    <mergeCell ref="A89:B89"/>
    <mergeCell ref="A90:H90"/>
    <mergeCell ref="A91:A93"/>
    <mergeCell ref="A94:B94"/>
    <mergeCell ref="A96:A102"/>
    <mergeCell ref="A70:H70"/>
    <mergeCell ref="A71:A73"/>
    <mergeCell ref="A74:B74"/>
    <mergeCell ref="A76:A81"/>
    <mergeCell ref="A82:B82"/>
    <mergeCell ref="A83:A87"/>
    <mergeCell ref="A52:A54"/>
    <mergeCell ref="A55:B55"/>
    <mergeCell ref="A57:A63"/>
    <mergeCell ref="A64:B64"/>
    <mergeCell ref="A65:A67"/>
    <mergeCell ref="A68:B68"/>
    <mergeCell ref="A37:A43"/>
    <mergeCell ref="A44:B44"/>
    <mergeCell ref="A45:A48"/>
    <mergeCell ref="A49:B49"/>
    <mergeCell ref="A50:B50"/>
    <mergeCell ref="A51:H51"/>
    <mergeCell ref="A24:A28"/>
    <mergeCell ref="A29:B29"/>
    <mergeCell ref="A30:B30"/>
    <mergeCell ref="A31:H31"/>
    <mergeCell ref="A32:A34"/>
    <mergeCell ref="A35:B35"/>
    <mergeCell ref="A9:H9"/>
    <mergeCell ref="A10:H10"/>
    <mergeCell ref="A11:A13"/>
    <mergeCell ref="A14:B14"/>
    <mergeCell ref="A16:A22"/>
    <mergeCell ref="A23:B23"/>
    <mergeCell ref="G2:H2"/>
    <mergeCell ref="A5:H5"/>
    <mergeCell ref="A6:B6"/>
    <mergeCell ref="A7:A8"/>
    <mergeCell ref="B7:B8"/>
    <mergeCell ref="C7:C8"/>
    <mergeCell ref="D7:F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zoomScale="80" zoomScaleNormal="80" zoomScalePageLayoutView="0" workbookViewId="0" topLeftCell="A130">
      <selection activeCell="K140" sqref="K140"/>
    </sheetView>
  </sheetViews>
  <sheetFormatPr defaultColWidth="9.140625" defaultRowHeight="15"/>
  <cols>
    <col min="1" max="1" width="16.140625" style="74" customWidth="1"/>
    <col min="2" max="2" width="45.8515625" style="93" customWidth="1"/>
    <col min="3" max="3" width="11.57421875" style="74" bestFit="1" customWidth="1"/>
    <col min="4" max="7" width="10.28125" style="74" customWidth="1"/>
    <col min="8" max="8" width="11.00390625" style="74" customWidth="1"/>
  </cols>
  <sheetData>
    <row r="1" spans="1:9" ht="15.75">
      <c r="A1" s="65"/>
      <c r="B1" s="75"/>
      <c r="C1" s="66"/>
      <c r="D1" s="67"/>
      <c r="E1" s="67"/>
      <c r="F1" s="67"/>
      <c r="G1" s="94" t="s">
        <v>20</v>
      </c>
      <c r="H1" s="95"/>
      <c r="I1" s="96"/>
    </row>
    <row r="2" spans="1:9" ht="15.75">
      <c r="A2" s="65"/>
      <c r="B2" s="75"/>
      <c r="C2" s="66"/>
      <c r="D2" s="67"/>
      <c r="E2" s="67"/>
      <c r="F2" s="67"/>
      <c r="G2" s="245" t="s">
        <v>128</v>
      </c>
      <c r="H2" s="246"/>
      <c r="I2" s="96"/>
    </row>
    <row r="3" spans="1:9" ht="15.75">
      <c r="A3" s="65"/>
      <c r="B3" s="75"/>
      <c r="C3" s="66"/>
      <c r="D3" s="67"/>
      <c r="E3" s="67"/>
      <c r="F3" s="67"/>
      <c r="G3" s="94" t="s">
        <v>282</v>
      </c>
      <c r="H3" s="95"/>
      <c r="I3" s="96"/>
    </row>
    <row r="4" spans="1:8" ht="15.75">
      <c r="A4" s="65"/>
      <c r="B4" s="75"/>
      <c r="C4" s="66"/>
      <c r="D4" s="67"/>
      <c r="E4" s="67"/>
      <c r="F4" s="67"/>
      <c r="G4" s="68"/>
      <c r="H4" s="40"/>
    </row>
    <row r="5" spans="1:8" ht="18.75">
      <c r="A5" s="247" t="s">
        <v>284</v>
      </c>
      <c r="B5" s="248"/>
      <c r="C5" s="248"/>
      <c r="D5" s="248"/>
      <c r="E5" s="248"/>
      <c r="F5" s="248"/>
      <c r="G5" s="248"/>
      <c r="H5" s="249"/>
    </row>
    <row r="6" spans="1:8" ht="15.75">
      <c r="A6" s="250" t="s">
        <v>86</v>
      </c>
      <c r="B6" s="250"/>
      <c r="C6" s="129"/>
      <c r="D6" s="69"/>
      <c r="E6" s="69"/>
      <c r="F6" s="69"/>
      <c r="G6" s="69"/>
      <c r="H6" s="130"/>
    </row>
    <row r="7" spans="1:8" ht="15.75">
      <c r="A7" s="251" t="s">
        <v>2</v>
      </c>
      <c r="B7" s="252" t="s">
        <v>0</v>
      </c>
      <c r="C7" s="251" t="s">
        <v>1</v>
      </c>
      <c r="D7" s="252" t="s">
        <v>3</v>
      </c>
      <c r="E7" s="252"/>
      <c r="F7" s="252"/>
      <c r="G7" s="41"/>
      <c r="H7" s="251" t="s">
        <v>7</v>
      </c>
    </row>
    <row r="8" spans="1:8" ht="15.75">
      <c r="A8" s="251"/>
      <c r="B8" s="252"/>
      <c r="C8" s="251"/>
      <c r="D8" s="42" t="s">
        <v>4</v>
      </c>
      <c r="E8" s="42" t="s">
        <v>5</v>
      </c>
      <c r="F8" s="42" t="s">
        <v>6</v>
      </c>
      <c r="G8" s="41" t="s">
        <v>45</v>
      </c>
      <c r="H8" s="251"/>
    </row>
    <row r="9" spans="1:8" ht="15.75">
      <c r="A9" s="253" t="s">
        <v>8</v>
      </c>
      <c r="B9" s="253"/>
      <c r="C9" s="253"/>
      <c r="D9" s="253"/>
      <c r="E9" s="253"/>
      <c r="F9" s="253"/>
      <c r="G9" s="253"/>
      <c r="H9" s="253"/>
    </row>
    <row r="10" spans="1:8" ht="15.75">
      <c r="A10" s="254" t="s">
        <v>30</v>
      </c>
      <c r="B10" s="254"/>
      <c r="C10" s="254"/>
      <c r="D10" s="254"/>
      <c r="E10" s="254"/>
      <c r="F10" s="254"/>
      <c r="G10" s="254"/>
      <c r="H10" s="254"/>
    </row>
    <row r="11" spans="1:8" ht="25.5">
      <c r="A11" s="251" t="s">
        <v>9</v>
      </c>
      <c r="B11" s="39" t="s">
        <v>193</v>
      </c>
      <c r="C11" s="131" t="s">
        <v>174</v>
      </c>
      <c r="D11" s="43">
        <f>4.662541*C11/130</f>
        <v>5.738512</v>
      </c>
      <c r="E11" s="43">
        <f>2.221648*C11/130</f>
        <v>2.734336</v>
      </c>
      <c r="F11" s="43">
        <f>29.896685*C11/130</f>
        <v>36.79592</v>
      </c>
      <c r="G11" s="43">
        <f>105*C11/140</f>
        <v>120</v>
      </c>
      <c r="H11" s="132" t="s">
        <v>269</v>
      </c>
    </row>
    <row r="12" spans="1:8" ht="15.75">
      <c r="A12" s="251"/>
      <c r="B12" s="76" t="s">
        <v>184</v>
      </c>
      <c r="C12" s="131" t="s">
        <v>93</v>
      </c>
      <c r="D12" s="43">
        <v>2.33</v>
      </c>
      <c r="E12" s="43">
        <v>8.12</v>
      </c>
      <c r="F12" s="43">
        <v>15.55</v>
      </c>
      <c r="G12" s="16">
        <v>144.7</v>
      </c>
      <c r="H12" s="58" t="s">
        <v>66</v>
      </c>
    </row>
    <row r="13" spans="1:8" ht="25.5">
      <c r="A13" s="251"/>
      <c r="B13" s="76" t="s">
        <v>185</v>
      </c>
      <c r="C13" s="44" t="s">
        <v>87</v>
      </c>
      <c r="D13" s="50">
        <f>1.62432*C13/150</f>
        <v>2.1657599999999997</v>
      </c>
      <c r="E13" s="50">
        <f>1.66144*C13/150</f>
        <v>2.2152533333333335</v>
      </c>
      <c r="F13" s="50">
        <f>9.03266*C13/150</f>
        <v>12.043546666666666</v>
      </c>
      <c r="G13" s="50">
        <f>57.58088*C13/150</f>
        <v>76.77450666666667</v>
      </c>
      <c r="H13" s="31" t="s">
        <v>129</v>
      </c>
    </row>
    <row r="14" spans="1:8" ht="15.75">
      <c r="A14" s="255" t="s">
        <v>10</v>
      </c>
      <c r="B14" s="255"/>
      <c r="C14" s="133" t="s">
        <v>175</v>
      </c>
      <c r="D14" s="45">
        <f>SUM(D11:D13)</f>
        <v>10.234272</v>
      </c>
      <c r="E14" s="45">
        <f>SUM(E11:E13)</f>
        <v>13.069589333333333</v>
      </c>
      <c r="F14" s="45">
        <f>SUM(F11:F13)</f>
        <v>64.38946666666668</v>
      </c>
      <c r="G14" s="45">
        <f>SUM(G11:G13)</f>
        <v>341.4745066666667</v>
      </c>
      <c r="H14" s="132"/>
    </row>
    <row r="15" spans="1:8" ht="15.75">
      <c r="A15" s="134" t="s">
        <v>38</v>
      </c>
      <c r="B15" s="77" t="s">
        <v>41</v>
      </c>
      <c r="C15" s="41">
        <v>180</v>
      </c>
      <c r="D15" s="59">
        <f>0.75*C15/150</f>
        <v>0.9</v>
      </c>
      <c r="E15" s="59">
        <f>0.15*C15/150</f>
        <v>0.18</v>
      </c>
      <c r="F15" s="59">
        <f>15.15*C15/150</f>
        <v>18.18</v>
      </c>
      <c r="G15" s="59">
        <f>69*C15/150</f>
        <v>82.8</v>
      </c>
      <c r="H15" s="132" t="s">
        <v>54</v>
      </c>
    </row>
    <row r="16" spans="1:8" ht="25.5">
      <c r="A16" s="252" t="s">
        <v>11</v>
      </c>
      <c r="B16" s="78" t="s">
        <v>285</v>
      </c>
      <c r="C16" s="46">
        <v>50</v>
      </c>
      <c r="D16" s="43">
        <f>0.5533845*C16/30</f>
        <v>0.9223075</v>
      </c>
      <c r="E16" s="43">
        <f>1.4412174*C16/30</f>
        <v>2.4020289999999997</v>
      </c>
      <c r="F16" s="43">
        <f>2.8616133*C16/30</f>
        <v>4.7693555000000005</v>
      </c>
      <c r="G16" s="43">
        <f>26.6*C16/30</f>
        <v>44.333333333333336</v>
      </c>
      <c r="H16" s="135" t="s">
        <v>120</v>
      </c>
    </row>
    <row r="17" spans="1:8" ht="63.75">
      <c r="A17" s="252"/>
      <c r="B17" s="39" t="s">
        <v>194</v>
      </c>
      <c r="C17" s="136" t="s">
        <v>89</v>
      </c>
      <c r="D17" s="43">
        <v>4.002188</v>
      </c>
      <c r="E17" s="43">
        <v>7.6576319999999996</v>
      </c>
      <c r="F17" s="43">
        <v>8.4317</v>
      </c>
      <c r="G17" s="43">
        <v>118.8</v>
      </c>
      <c r="H17" s="132" t="s">
        <v>132</v>
      </c>
    </row>
    <row r="18" spans="1:8" ht="25.5">
      <c r="A18" s="252"/>
      <c r="B18" s="39" t="s">
        <v>286</v>
      </c>
      <c r="C18" s="30">
        <v>70</v>
      </c>
      <c r="D18" s="36">
        <f>7.3823464*C18/50</f>
        <v>10.335284960000001</v>
      </c>
      <c r="E18" s="36">
        <f>8.9464936*C18/50</f>
        <v>12.52509104</v>
      </c>
      <c r="F18" s="36">
        <f>1.657565*C18/50</f>
        <v>2.320591</v>
      </c>
      <c r="G18" s="36">
        <f>116.678088*C18/50</f>
        <v>163.3493232</v>
      </c>
      <c r="H18" s="31" t="s">
        <v>126</v>
      </c>
    </row>
    <row r="19" spans="1:8" ht="25.5">
      <c r="A19" s="252"/>
      <c r="B19" s="76" t="s">
        <v>186</v>
      </c>
      <c r="C19" s="58">
        <v>130</v>
      </c>
      <c r="D19" s="48">
        <f>2.612918*C19/110</f>
        <v>3.087994</v>
      </c>
      <c r="E19" s="48">
        <f>2.801876*C19/110</f>
        <v>3.311308</v>
      </c>
      <c r="F19" s="48">
        <f>26.4899635*C19/110</f>
        <v>31.3063205</v>
      </c>
      <c r="G19" s="48">
        <f>133*C19/110</f>
        <v>157.1818181818182</v>
      </c>
      <c r="H19" s="132" t="s">
        <v>125</v>
      </c>
    </row>
    <row r="20" spans="1:8" ht="15.75">
      <c r="A20" s="252"/>
      <c r="B20" s="76" t="s">
        <v>12</v>
      </c>
      <c r="C20" s="46">
        <v>25</v>
      </c>
      <c r="D20" s="43">
        <f>1.32*C20/20</f>
        <v>1.65</v>
      </c>
      <c r="E20" s="43">
        <f>0.22*C20/20</f>
        <v>0.275</v>
      </c>
      <c r="F20" s="43">
        <f>8.2*C20/20</f>
        <v>10.249999999999998</v>
      </c>
      <c r="G20" s="48">
        <f>40*C20/20</f>
        <v>50</v>
      </c>
      <c r="H20" s="132" t="s">
        <v>59</v>
      </c>
    </row>
    <row r="21" spans="1:8" ht="15.75">
      <c r="A21" s="252"/>
      <c r="B21" s="76" t="s">
        <v>40</v>
      </c>
      <c r="C21" s="136">
        <v>30</v>
      </c>
      <c r="D21" s="43">
        <f>2.28*C21/30</f>
        <v>2.28</v>
      </c>
      <c r="E21" s="43">
        <f>0.24*C21/30</f>
        <v>0.23999999999999996</v>
      </c>
      <c r="F21" s="43">
        <f>14.76*C21/30</f>
        <v>14.76</v>
      </c>
      <c r="G21" s="43">
        <f>70.5*C21/30</f>
        <v>70.5</v>
      </c>
      <c r="H21" s="132" t="s">
        <v>58</v>
      </c>
    </row>
    <row r="22" spans="1:8" ht="25.5">
      <c r="A22" s="252"/>
      <c r="B22" s="79" t="s">
        <v>195</v>
      </c>
      <c r="C22" s="46">
        <v>180</v>
      </c>
      <c r="D22" s="43">
        <f>0.11*C22/150</f>
        <v>0.132</v>
      </c>
      <c r="E22" s="43">
        <f>0.11*C22/150</f>
        <v>0.132</v>
      </c>
      <c r="F22" s="43">
        <f>11.75*C22/150</f>
        <v>14.1</v>
      </c>
      <c r="G22" s="43">
        <f>48.5*C22/150</f>
        <v>58.2</v>
      </c>
      <c r="H22" s="132" t="s">
        <v>72</v>
      </c>
    </row>
    <row r="23" spans="1:8" ht="15.75">
      <c r="A23" s="255" t="s">
        <v>13</v>
      </c>
      <c r="B23" s="255"/>
      <c r="C23" s="137">
        <v>705</v>
      </c>
      <c r="D23" s="49">
        <f>SUM(D16:D22)</f>
        <v>22.409774460000005</v>
      </c>
      <c r="E23" s="49">
        <f>SUM(E16:E22)</f>
        <v>26.543060039999997</v>
      </c>
      <c r="F23" s="49">
        <f>SUM(F16:F22)</f>
        <v>85.937967</v>
      </c>
      <c r="G23" s="49">
        <f>SUM(G16:G22)</f>
        <v>662.3644747151516</v>
      </c>
      <c r="H23" s="132"/>
    </row>
    <row r="24" spans="1:8" ht="39">
      <c r="A24" s="251" t="s">
        <v>109</v>
      </c>
      <c r="B24" s="80" t="s">
        <v>196</v>
      </c>
      <c r="C24" s="24">
        <v>200</v>
      </c>
      <c r="D24" s="50">
        <f>14.2*C24/160</f>
        <v>17.75</v>
      </c>
      <c r="E24" s="50">
        <f>11.49*C24/160</f>
        <v>14.3625</v>
      </c>
      <c r="F24" s="50">
        <f>13.81*C24/160</f>
        <v>17.2625</v>
      </c>
      <c r="G24" s="50">
        <f>215.49*C24/160</f>
        <v>269.3625</v>
      </c>
      <c r="H24" s="24" t="s">
        <v>127</v>
      </c>
    </row>
    <row r="25" spans="1:8" ht="15.75">
      <c r="A25" s="251"/>
      <c r="B25" s="76" t="s">
        <v>40</v>
      </c>
      <c r="C25" s="136">
        <v>20</v>
      </c>
      <c r="D25" s="43">
        <f>2.28*C25/30</f>
        <v>1.5199999999999998</v>
      </c>
      <c r="E25" s="43">
        <f>0.24*C25/30</f>
        <v>0.16</v>
      </c>
      <c r="F25" s="43">
        <f>14.76*C25/30</f>
        <v>9.84</v>
      </c>
      <c r="G25" s="43">
        <f>70.5*C25/30</f>
        <v>47</v>
      </c>
      <c r="H25" s="132" t="s">
        <v>58</v>
      </c>
    </row>
    <row r="26" spans="1:8" ht="15.75">
      <c r="A26" s="251"/>
      <c r="B26" s="76" t="s">
        <v>12</v>
      </c>
      <c r="C26" s="46">
        <v>20</v>
      </c>
      <c r="D26" s="43">
        <v>1.32</v>
      </c>
      <c r="E26" s="43">
        <v>0.22</v>
      </c>
      <c r="F26" s="43">
        <v>8.2</v>
      </c>
      <c r="G26" s="48">
        <v>40</v>
      </c>
      <c r="H26" s="132" t="s">
        <v>59</v>
      </c>
    </row>
    <row r="27" spans="1:8" ht="15.75">
      <c r="A27" s="251"/>
      <c r="B27" s="39" t="s">
        <v>131</v>
      </c>
      <c r="C27" s="46">
        <v>180</v>
      </c>
      <c r="D27" s="43">
        <f>4.35*C27/150</f>
        <v>5.219999999999999</v>
      </c>
      <c r="E27" s="43">
        <f>4.8*C27/150</f>
        <v>5.76</v>
      </c>
      <c r="F27" s="43">
        <f>7.05*C27/150</f>
        <v>8.46</v>
      </c>
      <c r="G27" s="48">
        <f>90*C27/150</f>
        <v>108</v>
      </c>
      <c r="H27" s="132" t="s">
        <v>61</v>
      </c>
    </row>
    <row r="28" spans="1:8" ht="15.75">
      <c r="A28" s="251"/>
      <c r="B28" s="76" t="s">
        <v>116</v>
      </c>
      <c r="C28" s="136">
        <v>11</v>
      </c>
      <c r="D28" s="43">
        <v>0.8</v>
      </c>
      <c r="E28" s="43">
        <v>2.1</v>
      </c>
      <c r="F28" s="43">
        <v>7.5</v>
      </c>
      <c r="G28" s="43">
        <v>52</v>
      </c>
      <c r="H28" s="132" t="s">
        <v>117</v>
      </c>
    </row>
    <row r="29" spans="1:8" ht="15.75">
      <c r="A29" s="253" t="s">
        <v>110</v>
      </c>
      <c r="B29" s="253"/>
      <c r="C29" s="42">
        <v>431</v>
      </c>
      <c r="D29" s="54">
        <f>SUM(D24:D28)</f>
        <v>26.61</v>
      </c>
      <c r="E29" s="54">
        <f>SUM(E24:E28)</f>
        <v>22.602500000000003</v>
      </c>
      <c r="F29" s="54">
        <f>SUM(F24:F28)</f>
        <v>51.262499999999996</v>
      </c>
      <c r="G29" s="54">
        <f>SUM(G24:G28)</f>
        <v>516.3625</v>
      </c>
      <c r="H29" s="132"/>
    </row>
    <row r="30" spans="1:8" ht="15.75">
      <c r="A30" s="256" t="s">
        <v>14</v>
      </c>
      <c r="B30" s="256"/>
      <c r="C30" s="51">
        <f>C14+C15+C23+C29</f>
        <v>1726</v>
      </c>
      <c r="D30" s="51">
        <f>D14+D15+D23+D29</f>
        <v>60.15404646</v>
      </c>
      <c r="E30" s="51">
        <f>E14+E15+E23+E29</f>
        <v>62.39514937333334</v>
      </c>
      <c r="F30" s="51">
        <f>F14+F15+F23+F29</f>
        <v>219.76993366666665</v>
      </c>
      <c r="G30" s="51">
        <f>G14+G15+G23+G29</f>
        <v>1603.0014813818182</v>
      </c>
      <c r="H30" s="138"/>
    </row>
    <row r="31" spans="1:8" ht="15.75">
      <c r="A31" s="254" t="s">
        <v>31</v>
      </c>
      <c r="B31" s="254"/>
      <c r="C31" s="254"/>
      <c r="D31" s="254"/>
      <c r="E31" s="254"/>
      <c r="F31" s="254"/>
      <c r="G31" s="254"/>
      <c r="H31" s="254"/>
    </row>
    <row r="32" spans="1:8" ht="38.25">
      <c r="A32" s="252" t="s">
        <v>9</v>
      </c>
      <c r="B32" s="39" t="s">
        <v>197</v>
      </c>
      <c r="C32" s="24">
        <v>160</v>
      </c>
      <c r="D32" s="50">
        <f>4.961884*C32/155</f>
        <v>5.121944774193549</v>
      </c>
      <c r="E32" s="50">
        <f>3.065216*C32/155</f>
        <v>3.1640939354838706</v>
      </c>
      <c r="F32" s="50">
        <f>19.133478*C32/155</f>
        <v>19.750686967741935</v>
      </c>
      <c r="G32" s="199">
        <f>92*C32/135</f>
        <v>109.03703703703704</v>
      </c>
      <c r="H32" s="139" t="s">
        <v>133</v>
      </c>
    </row>
    <row r="33" spans="1:8" ht="25.5">
      <c r="A33" s="252"/>
      <c r="B33" s="39" t="s">
        <v>198</v>
      </c>
      <c r="C33" s="140" t="s">
        <v>176</v>
      </c>
      <c r="D33" s="48">
        <v>6.52</v>
      </c>
      <c r="E33" s="48">
        <v>9.25</v>
      </c>
      <c r="F33" s="48">
        <v>21.965</v>
      </c>
      <c r="G33" s="48">
        <v>198.6</v>
      </c>
      <c r="H33" s="135" t="s">
        <v>51</v>
      </c>
    </row>
    <row r="34" spans="1:8" ht="25.5">
      <c r="A34" s="252"/>
      <c r="B34" s="39" t="s">
        <v>199</v>
      </c>
      <c r="C34" s="46">
        <v>200</v>
      </c>
      <c r="D34" s="48">
        <f>2.46*C34/180</f>
        <v>2.7333333333333334</v>
      </c>
      <c r="E34" s="48">
        <f>1.86*C34/180</f>
        <v>2.066666666666667</v>
      </c>
      <c r="F34" s="48">
        <f>11.94*C34/180</f>
        <v>13.266666666666667</v>
      </c>
      <c r="G34" s="48">
        <f>64*C34/180</f>
        <v>71.11111111111111</v>
      </c>
      <c r="H34" s="135" t="s">
        <v>78</v>
      </c>
    </row>
    <row r="35" spans="1:8" ht="15.75">
      <c r="A35" s="255" t="s">
        <v>10</v>
      </c>
      <c r="B35" s="255"/>
      <c r="C35" s="41">
        <v>410</v>
      </c>
      <c r="D35" s="45">
        <f>D32+D33+D34</f>
        <v>14.375278107526881</v>
      </c>
      <c r="E35" s="45">
        <f>E32+E33+E34</f>
        <v>14.480760602150538</v>
      </c>
      <c r="F35" s="45">
        <f>F32+F33+F34</f>
        <v>54.9823536344086</v>
      </c>
      <c r="G35" s="45">
        <f>G32+G33+G34</f>
        <v>378.7481481481482</v>
      </c>
      <c r="H35" s="132"/>
    </row>
    <row r="36" spans="1:8" ht="15.75">
      <c r="A36" s="141" t="s">
        <v>38</v>
      </c>
      <c r="B36" s="77" t="s">
        <v>41</v>
      </c>
      <c r="C36" s="41">
        <v>180</v>
      </c>
      <c r="D36" s="59">
        <f>0.75*C36/150</f>
        <v>0.9</v>
      </c>
      <c r="E36" s="59">
        <f>0.15*C36/150</f>
        <v>0.18</v>
      </c>
      <c r="F36" s="59">
        <f>15.15*C36/150</f>
        <v>18.18</v>
      </c>
      <c r="G36" s="59">
        <f>69*C36/150</f>
        <v>82.8</v>
      </c>
      <c r="H36" s="132" t="s">
        <v>54</v>
      </c>
    </row>
    <row r="37" spans="1:8" ht="25.5">
      <c r="A37" s="252" t="s">
        <v>11</v>
      </c>
      <c r="B37" s="39" t="s">
        <v>272</v>
      </c>
      <c r="C37" s="136">
        <v>50</v>
      </c>
      <c r="D37" s="16">
        <f>0.435955*C37/30</f>
        <v>0.7265916666666666</v>
      </c>
      <c r="E37" s="16">
        <f>2.379704*C37/30</f>
        <v>3.966173333333333</v>
      </c>
      <c r="F37" s="16">
        <f>1.967329*C37/30</f>
        <v>3.2788816666666665</v>
      </c>
      <c r="G37" s="63">
        <f>31*C37/30</f>
        <v>51.666666666666664</v>
      </c>
      <c r="H37" s="132" t="s">
        <v>135</v>
      </c>
    </row>
    <row r="38" spans="1:8" ht="38.25">
      <c r="A38" s="252"/>
      <c r="B38" s="39" t="s">
        <v>200</v>
      </c>
      <c r="C38" s="58" t="s">
        <v>90</v>
      </c>
      <c r="D38" s="16">
        <v>5.56104</v>
      </c>
      <c r="E38" s="16">
        <v>3.2049600000000003</v>
      </c>
      <c r="F38" s="16">
        <v>12.965679999999995</v>
      </c>
      <c r="G38" s="48">
        <v>102.9</v>
      </c>
      <c r="H38" s="132" t="s">
        <v>74</v>
      </c>
    </row>
    <row r="39" spans="1:8" ht="25.5">
      <c r="A39" s="252"/>
      <c r="B39" s="39" t="s">
        <v>287</v>
      </c>
      <c r="C39" s="24">
        <v>70</v>
      </c>
      <c r="D39" s="50">
        <f>6.55493333333333*C39/50</f>
        <v>9.176906666666662</v>
      </c>
      <c r="E39" s="50">
        <f>8.9628*C39/50</f>
        <v>12.54792</v>
      </c>
      <c r="F39" s="50">
        <f>6.37*C39/50</f>
        <v>8.918000000000001</v>
      </c>
      <c r="G39" s="50">
        <f>132*C39/50</f>
        <v>184.8</v>
      </c>
      <c r="H39" s="188" t="s">
        <v>48</v>
      </c>
    </row>
    <row r="40" spans="1:8" ht="25.5">
      <c r="A40" s="252"/>
      <c r="B40" s="39" t="s">
        <v>201</v>
      </c>
      <c r="C40" s="58">
        <v>130</v>
      </c>
      <c r="D40" s="48">
        <f>6.03*C40/110</f>
        <v>7.126363636363636</v>
      </c>
      <c r="E40" s="48">
        <f>4.6*C40/110</f>
        <v>5.4363636363636365</v>
      </c>
      <c r="F40" s="48">
        <f>26.35*C40/110</f>
        <v>31.14090909090909</v>
      </c>
      <c r="G40" s="48">
        <f>144*C40/110</f>
        <v>170.1818181818182</v>
      </c>
      <c r="H40" s="132" t="s">
        <v>76</v>
      </c>
    </row>
    <row r="41" spans="1:8" ht="25.5">
      <c r="A41" s="252"/>
      <c r="B41" s="76" t="s">
        <v>187</v>
      </c>
      <c r="C41" s="46">
        <v>180</v>
      </c>
      <c r="D41" s="43">
        <f>0.11*C41/180</f>
        <v>0.11</v>
      </c>
      <c r="E41" s="43">
        <f>0.04*C41/180</f>
        <v>0.04</v>
      </c>
      <c r="F41" s="43">
        <f>9.84*C41/180</f>
        <v>9.84</v>
      </c>
      <c r="G41" s="48">
        <f>40.17*C41/180</f>
        <v>40.17</v>
      </c>
      <c r="H41" s="132" t="s">
        <v>80</v>
      </c>
    </row>
    <row r="42" spans="1:8" ht="15.75">
      <c r="A42" s="252"/>
      <c r="B42" s="76" t="s">
        <v>12</v>
      </c>
      <c r="C42" s="46">
        <v>25</v>
      </c>
      <c r="D42" s="43">
        <f>1.32*C42/20</f>
        <v>1.65</v>
      </c>
      <c r="E42" s="43">
        <f>0.22*C42/20</f>
        <v>0.275</v>
      </c>
      <c r="F42" s="43">
        <f>8.2*C42/20</f>
        <v>10.249999999999998</v>
      </c>
      <c r="G42" s="48">
        <f>40*C42/20</f>
        <v>50</v>
      </c>
      <c r="H42" s="132" t="s">
        <v>59</v>
      </c>
    </row>
    <row r="43" spans="1:8" ht="15.75">
      <c r="A43" s="252"/>
      <c r="B43" s="76" t="s">
        <v>40</v>
      </c>
      <c r="C43" s="136">
        <v>25</v>
      </c>
      <c r="D43" s="43">
        <f>2.28*C43/30</f>
        <v>1.8999999999999997</v>
      </c>
      <c r="E43" s="43">
        <f>0.24*C43/30</f>
        <v>0.2</v>
      </c>
      <c r="F43" s="43">
        <f>14.76*C43/30</f>
        <v>12.3</v>
      </c>
      <c r="G43" s="43">
        <f>70.5*C43/30</f>
        <v>58.75</v>
      </c>
      <c r="H43" s="132" t="s">
        <v>58</v>
      </c>
    </row>
    <row r="44" spans="1:8" ht="15.75">
      <c r="A44" s="255" t="s">
        <v>13</v>
      </c>
      <c r="B44" s="255"/>
      <c r="C44" s="41">
        <v>690</v>
      </c>
      <c r="D44" s="49">
        <f>SUM(D37:D43)</f>
        <v>26.25090196969696</v>
      </c>
      <c r="E44" s="49">
        <f>SUM(E37:E43)</f>
        <v>25.67041696969697</v>
      </c>
      <c r="F44" s="49">
        <f>SUM(F37:F43)</f>
        <v>88.69347075757575</v>
      </c>
      <c r="G44" s="49">
        <f>SUM(G37:G43)</f>
        <v>658.4684848484849</v>
      </c>
      <c r="H44" s="132"/>
    </row>
    <row r="45" spans="1:8" ht="15.75">
      <c r="A45" s="251" t="s">
        <v>109</v>
      </c>
      <c r="B45" s="102" t="s">
        <v>288</v>
      </c>
      <c r="C45" s="140" t="s">
        <v>290</v>
      </c>
      <c r="D45" s="16">
        <v>12.0216622</v>
      </c>
      <c r="E45" s="16">
        <v>12.6157128</v>
      </c>
      <c r="F45" s="16">
        <v>69.97005770000001</v>
      </c>
      <c r="G45" s="48">
        <v>441</v>
      </c>
      <c r="H45" s="132" t="s">
        <v>53</v>
      </c>
    </row>
    <row r="46" spans="1:8" ht="15.75">
      <c r="A46" s="251"/>
      <c r="B46" s="76" t="s">
        <v>12</v>
      </c>
      <c r="C46" s="46">
        <v>25</v>
      </c>
      <c r="D46" s="43">
        <f>1.32*C46/20</f>
        <v>1.65</v>
      </c>
      <c r="E46" s="43">
        <f>0.22*C46/20</f>
        <v>0.275</v>
      </c>
      <c r="F46" s="43">
        <f>8.2*C46/20</f>
        <v>10.249999999999998</v>
      </c>
      <c r="G46" s="48">
        <f>40*C46/20</f>
        <v>50</v>
      </c>
      <c r="H46" s="132" t="s">
        <v>59</v>
      </c>
    </row>
    <row r="47" spans="1:8" ht="15.75">
      <c r="A47" s="251"/>
      <c r="B47" s="77" t="s">
        <v>202</v>
      </c>
      <c r="C47" s="140" t="s">
        <v>87</v>
      </c>
      <c r="D47" s="16">
        <f>0.0376*C47/180</f>
        <v>0.04177777777777778</v>
      </c>
      <c r="E47" s="16">
        <f>0.008976*C47/180</f>
        <v>0.009973333333333332</v>
      </c>
      <c r="F47" s="16">
        <f>6.81863*C47/180</f>
        <v>7.576255555555555</v>
      </c>
      <c r="G47" s="48">
        <f>29.34*C47/180</f>
        <v>32.6</v>
      </c>
      <c r="H47" s="132" t="s">
        <v>53</v>
      </c>
    </row>
    <row r="48" spans="1:8" ht="15.75">
      <c r="A48" s="251"/>
      <c r="B48" s="81" t="s">
        <v>140</v>
      </c>
      <c r="C48" s="46">
        <v>120</v>
      </c>
      <c r="D48" s="52">
        <v>0.4</v>
      </c>
      <c r="E48" s="52">
        <v>0.4</v>
      </c>
      <c r="F48" s="52">
        <v>9.8</v>
      </c>
      <c r="G48" s="52">
        <v>47</v>
      </c>
      <c r="H48" s="132" t="s">
        <v>64</v>
      </c>
    </row>
    <row r="49" spans="1:8" ht="15.75">
      <c r="A49" s="292" t="s">
        <v>110</v>
      </c>
      <c r="B49" s="293"/>
      <c r="C49" s="53" t="s">
        <v>289</v>
      </c>
      <c r="D49" s="54">
        <f>SUM(D45:D48)</f>
        <v>14.113439977777778</v>
      </c>
      <c r="E49" s="54">
        <f>SUM(E45:E48)</f>
        <v>13.300686133333334</v>
      </c>
      <c r="F49" s="54">
        <f>SUM(F45:F48)</f>
        <v>97.59631325555556</v>
      </c>
      <c r="G49" s="54">
        <f>SUM(G45:G48)</f>
        <v>570.6</v>
      </c>
      <c r="H49" s="55"/>
    </row>
    <row r="50" spans="1:8" ht="15.75">
      <c r="A50" s="290" t="s">
        <v>35</v>
      </c>
      <c r="B50" s="291"/>
      <c r="C50" s="57">
        <f>C35+C36+C44+C49</f>
        <v>1820</v>
      </c>
      <c r="D50" s="57">
        <f>D35+D36+D44+D49</f>
        <v>55.63962005500162</v>
      </c>
      <c r="E50" s="57">
        <f>E35+E36+E44+E49</f>
        <v>53.63186370518084</v>
      </c>
      <c r="F50" s="57">
        <f>F35+F36+F44+F49</f>
        <v>259.4521376475399</v>
      </c>
      <c r="G50" s="57">
        <f>G35+G36+G44+G49</f>
        <v>1690.6166329966331</v>
      </c>
      <c r="H50" s="142"/>
    </row>
    <row r="51" spans="1:8" ht="15.75">
      <c r="A51" s="261" t="s">
        <v>32</v>
      </c>
      <c r="B51" s="262"/>
      <c r="C51" s="262"/>
      <c r="D51" s="262"/>
      <c r="E51" s="262"/>
      <c r="F51" s="262"/>
      <c r="G51" s="262"/>
      <c r="H51" s="263"/>
    </row>
    <row r="52" spans="1:8" ht="25.5">
      <c r="A52" s="252" t="s">
        <v>9</v>
      </c>
      <c r="B52" s="39" t="s">
        <v>291</v>
      </c>
      <c r="C52" s="46">
        <v>160</v>
      </c>
      <c r="D52" s="43">
        <f>3.9339*C52/150</f>
        <v>4.19616</v>
      </c>
      <c r="E52" s="43">
        <f>1.73184*C52/150</f>
        <v>1.847296</v>
      </c>
      <c r="F52" s="43">
        <f>27.28908*C52/150</f>
        <v>29.108352</v>
      </c>
      <c r="G52" s="43">
        <f>140.4*C52/150</f>
        <v>149.76</v>
      </c>
      <c r="H52" s="135" t="s">
        <v>138</v>
      </c>
    </row>
    <row r="53" spans="1:8" ht="25.5">
      <c r="A53" s="252"/>
      <c r="B53" s="39" t="s">
        <v>198</v>
      </c>
      <c r="C53" s="140" t="s">
        <v>176</v>
      </c>
      <c r="D53" s="48">
        <v>6.52</v>
      </c>
      <c r="E53" s="48">
        <v>9.25</v>
      </c>
      <c r="F53" s="48">
        <v>21.965</v>
      </c>
      <c r="G53" s="48">
        <v>198.6</v>
      </c>
      <c r="H53" s="135" t="s">
        <v>51</v>
      </c>
    </row>
    <row r="54" spans="1:8" ht="15.75">
      <c r="A54" s="252"/>
      <c r="B54" s="39" t="s">
        <v>203</v>
      </c>
      <c r="C54" s="30">
        <v>200</v>
      </c>
      <c r="D54" s="50">
        <f>1.551*C54/200</f>
        <v>1.551</v>
      </c>
      <c r="E54" s="50">
        <f>1.58488*C54/200</f>
        <v>1.58488</v>
      </c>
      <c r="F54" s="50">
        <f>2.1749*C54/200</f>
        <v>2.1749</v>
      </c>
      <c r="G54" s="50">
        <f>29.16752*C54/200</f>
        <v>29.16752</v>
      </c>
      <c r="H54" s="31" t="s">
        <v>139</v>
      </c>
    </row>
    <row r="55" spans="1:8" ht="15.75" customHeight="1">
      <c r="A55" s="257" t="s">
        <v>10</v>
      </c>
      <c r="B55" s="258"/>
      <c r="C55" s="41">
        <v>410</v>
      </c>
      <c r="D55" s="45">
        <f>SUM(D52:D54)</f>
        <v>12.267159999999999</v>
      </c>
      <c r="E55" s="45">
        <f>SUM(E52:E54)</f>
        <v>12.682176</v>
      </c>
      <c r="F55" s="45">
        <f>SUM(F52:F54)</f>
        <v>53.248252</v>
      </c>
      <c r="G55" s="45">
        <f>SUM(G52:G54)</f>
        <v>377.52752000000004</v>
      </c>
      <c r="H55" s="132"/>
    </row>
    <row r="56" spans="1:8" ht="15.75">
      <c r="A56" s="141" t="s">
        <v>29</v>
      </c>
      <c r="B56" s="77" t="s">
        <v>141</v>
      </c>
      <c r="C56" s="41">
        <v>100</v>
      </c>
      <c r="D56" s="45">
        <v>0.4</v>
      </c>
      <c r="E56" s="45">
        <v>0.4</v>
      </c>
      <c r="F56" s="45">
        <v>9.8</v>
      </c>
      <c r="G56" s="45">
        <v>47</v>
      </c>
      <c r="H56" s="132" t="s">
        <v>64</v>
      </c>
    </row>
    <row r="57" spans="1:8" ht="15.75">
      <c r="A57" s="252" t="s">
        <v>68</v>
      </c>
      <c r="B57" s="76" t="s">
        <v>274</v>
      </c>
      <c r="C57" s="58">
        <v>50</v>
      </c>
      <c r="D57" s="48">
        <f>0.2584*C57/30</f>
        <v>0.4306666666666667</v>
      </c>
      <c r="E57" s="48">
        <f>2.842748*C57/30</f>
        <v>4.737913333333333</v>
      </c>
      <c r="F57" s="48">
        <f>0.841568*C57/30</f>
        <v>1.4026133333333335</v>
      </c>
      <c r="G57" s="48">
        <f>29.9*C57/30</f>
        <v>49.833333333333336</v>
      </c>
      <c r="H57" s="132" t="s">
        <v>142</v>
      </c>
    </row>
    <row r="58" spans="1:8" ht="51">
      <c r="A58" s="252"/>
      <c r="B58" s="39" t="s">
        <v>204</v>
      </c>
      <c r="C58" s="136" t="s">
        <v>89</v>
      </c>
      <c r="D58" s="43">
        <v>4.5</v>
      </c>
      <c r="E58" s="43">
        <v>7.41</v>
      </c>
      <c r="F58" s="43">
        <v>7.2</v>
      </c>
      <c r="G58" s="43">
        <v>113.74</v>
      </c>
      <c r="H58" s="58" t="s">
        <v>56</v>
      </c>
    </row>
    <row r="59" spans="1:8" ht="15.75">
      <c r="A59" s="252"/>
      <c r="B59" s="39" t="s">
        <v>292</v>
      </c>
      <c r="C59" s="30">
        <v>70</v>
      </c>
      <c r="D59" s="25">
        <f>11.63344*C59/50</f>
        <v>16.286816</v>
      </c>
      <c r="E59" s="25">
        <f>11.01056*C59/50</f>
        <v>15.414784</v>
      </c>
      <c r="F59" s="25">
        <v>0</v>
      </c>
      <c r="G59" s="25">
        <f>145.6288*C59/50</f>
        <v>203.88032000000004</v>
      </c>
      <c r="H59" s="132" t="s">
        <v>143</v>
      </c>
    </row>
    <row r="60" spans="1:8" ht="25.5">
      <c r="A60" s="252"/>
      <c r="B60" s="39" t="s">
        <v>205</v>
      </c>
      <c r="C60" s="58">
        <v>130</v>
      </c>
      <c r="D60" s="48">
        <f>2.45*C60/120</f>
        <v>2.654166666666667</v>
      </c>
      <c r="E60" s="48">
        <f>3.43*C60/120</f>
        <v>3.7158333333333338</v>
      </c>
      <c r="F60" s="48">
        <f>16.05*C60/120</f>
        <v>17.3875</v>
      </c>
      <c r="G60" s="48">
        <f>95*C60/120</f>
        <v>102.91666666666667</v>
      </c>
      <c r="H60" s="132" t="s">
        <v>57</v>
      </c>
    </row>
    <row r="61" spans="1:8" ht="25.5">
      <c r="A61" s="252"/>
      <c r="B61" s="79" t="s">
        <v>206</v>
      </c>
      <c r="C61" s="46">
        <v>180</v>
      </c>
      <c r="D61" s="43">
        <f>0.41*C61/150</f>
        <v>0.492</v>
      </c>
      <c r="E61" s="43">
        <f>0.06*C61/150</f>
        <v>0.072</v>
      </c>
      <c r="F61" s="43">
        <f>17.01*C61/150</f>
        <v>20.412000000000003</v>
      </c>
      <c r="G61" s="43">
        <f>70.15*C61/150</f>
        <v>84.18</v>
      </c>
      <c r="H61" s="132" t="s">
        <v>60</v>
      </c>
    </row>
    <row r="62" spans="1:8" ht="15.75">
      <c r="A62" s="252"/>
      <c r="B62" s="76" t="s">
        <v>12</v>
      </c>
      <c r="C62" s="46">
        <v>25</v>
      </c>
      <c r="D62" s="43">
        <f>1.32*C62/20</f>
        <v>1.65</v>
      </c>
      <c r="E62" s="43">
        <f>0.22*C62/20</f>
        <v>0.275</v>
      </c>
      <c r="F62" s="43">
        <f>8.2*C62/20</f>
        <v>10.249999999999998</v>
      </c>
      <c r="G62" s="48">
        <f>40*C62/20</f>
        <v>50</v>
      </c>
      <c r="H62" s="132" t="s">
        <v>59</v>
      </c>
    </row>
    <row r="63" spans="1:8" ht="15.75">
      <c r="A63" s="252"/>
      <c r="B63" s="76" t="s">
        <v>40</v>
      </c>
      <c r="C63" s="136">
        <v>25</v>
      </c>
      <c r="D63" s="43">
        <f>2.28*C63/30</f>
        <v>1.8999999999999997</v>
      </c>
      <c r="E63" s="43">
        <f>0.24*C63/30</f>
        <v>0.2</v>
      </c>
      <c r="F63" s="43">
        <f>14.76*C63/30</f>
        <v>12.3</v>
      </c>
      <c r="G63" s="43">
        <f>70.5*C63/30</f>
        <v>58.75</v>
      </c>
      <c r="H63" s="132" t="s">
        <v>58</v>
      </c>
    </row>
    <row r="64" spans="1:8" ht="15.75">
      <c r="A64" s="259" t="s">
        <v>13</v>
      </c>
      <c r="B64" s="260"/>
      <c r="C64" s="41">
        <v>700</v>
      </c>
      <c r="D64" s="49">
        <f>D57+D58+D59+D60+D61+D62+D63</f>
        <v>27.913649333333336</v>
      </c>
      <c r="E64" s="49">
        <f>E57+E58+E59+E60+E61+E62+E63</f>
        <v>31.825530666666662</v>
      </c>
      <c r="F64" s="49">
        <f>F57+F58+F59+F60+F61+F62+F63</f>
        <v>68.95211333333333</v>
      </c>
      <c r="G64" s="49">
        <f>G57+G58+G59+G60+G61+G62+G63</f>
        <v>663.30032</v>
      </c>
      <c r="H64" s="132"/>
    </row>
    <row r="65" spans="1:8" ht="38.25">
      <c r="A65" s="251" t="s">
        <v>109</v>
      </c>
      <c r="B65" s="102" t="s">
        <v>265</v>
      </c>
      <c r="C65" s="58" t="s">
        <v>137</v>
      </c>
      <c r="D65" s="48">
        <v>19.59218</v>
      </c>
      <c r="E65" s="48">
        <v>8.916239999999998</v>
      </c>
      <c r="F65" s="48">
        <v>42.11626</v>
      </c>
      <c r="G65" s="48">
        <v>323</v>
      </c>
      <c r="H65" s="132" t="s">
        <v>121</v>
      </c>
    </row>
    <row r="66" spans="1:8" ht="15.75">
      <c r="A66" s="251"/>
      <c r="B66" s="77" t="s">
        <v>82</v>
      </c>
      <c r="C66" s="58">
        <v>180</v>
      </c>
      <c r="D66" s="48">
        <f>4.8*C66/150</f>
        <v>5.76</v>
      </c>
      <c r="E66" s="48">
        <f>3.75*C66/150</f>
        <v>4.5</v>
      </c>
      <c r="F66" s="48">
        <f>6.75*C66/150</f>
        <v>8.1</v>
      </c>
      <c r="G66" s="48">
        <f>79.5*C66/150</f>
        <v>95.4</v>
      </c>
      <c r="H66" s="132" t="s">
        <v>61</v>
      </c>
    </row>
    <row r="67" spans="1:8" ht="15.75">
      <c r="A67" s="251"/>
      <c r="B67" s="77" t="s">
        <v>144</v>
      </c>
      <c r="C67" s="24">
        <v>30</v>
      </c>
      <c r="D67" s="50">
        <f>2.52*C67/45</f>
        <v>1.68</v>
      </c>
      <c r="E67" s="50">
        <f>1.26*C67/45</f>
        <v>0.84</v>
      </c>
      <c r="F67" s="50">
        <f>35.2*C67/45</f>
        <v>23.466666666666665</v>
      </c>
      <c r="G67" s="50">
        <f>162*C67/45</f>
        <v>108</v>
      </c>
      <c r="H67" s="31" t="s">
        <v>117</v>
      </c>
    </row>
    <row r="68" spans="1:8" ht="15.75">
      <c r="A68" s="264" t="s">
        <v>110</v>
      </c>
      <c r="B68" s="265"/>
      <c r="C68" s="42">
        <v>340</v>
      </c>
      <c r="D68" s="54">
        <f>SUM(D65:D67)</f>
        <v>27.032179999999997</v>
      </c>
      <c r="E68" s="54">
        <f>SUM(E65:E67)</f>
        <v>14.256239999999998</v>
      </c>
      <c r="F68" s="54">
        <f>SUM(F65:F67)</f>
        <v>73.68292666666666</v>
      </c>
      <c r="G68" s="54">
        <f>SUM(G65:G67)</f>
        <v>526.4</v>
      </c>
      <c r="H68" s="132"/>
    </row>
    <row r="69" spans="1:8" ht="15.75">
      <c r="A69" s="143" t="s">
        <v>15</v>
      </c>
      <c r="B69" s="82"/>
      <c r="C69" s="144">
        <f>C55+C56+C64+C68</f>
        <v>1550</v>
      </c>
      <c r="D69" s="144">
        <f>D55+D56+D64+D68</f>
        <v>67.61298933333333</v>
      </c>
      <c r="E69" s="144">
        <f>E55+E56+E64+E68</f>
        <v>59.16394666666666</v>
      </c>
      <c r="F69" s="144">
        <f>F55+F56+F64+F68</f>
        <v>205.683292</v>
      </c>
      <c r="G69" s="144">
        <f>G55+G56+G64+G68</f>
        <v>1614.22784</v>
      </c>
      <c r="H69" s="145"/>
    </row>
    <row r="70" spans="1:8" ht="15.75">
      <c r="A70" s="261" t="s">
        <v>33</v>
      </c>
      <c r="B70" s="262"/>
      <c r="C70" s="262"/>
      <c r="D70" s="262"/>
      <c r="E70" s="262"/>
      <c r="F70" s="262"/>
      <c r="G70" s="262"/>
      <c r="H70" s="263"/>
    </row>
    <row r="71" spans="1:8" ht="25.5">
      <c r="A71" s="252" t="s">
        <v>9</v>
      </c>
      <c r="B71" s="39" t="s">
        <v>254</v>
      </c>
      <c r="C71" s="46">
        <v>160</v>
      </c>
      <c r="D71" s="43">
        <f>5.31476*C71/150</f>
        <v>5.669077333333333</v>
      </c>
      <c r="E71" s="43">
        <f>2.0152*C71/140</f>
        <v>2.3030857142857144</v>
      </c>
      <c r="F71" s="43">
        <f>24.51176*C71/140</f>
        <v>28.01344</v>
      </c>
      <c r="G71" s="48">
        <f>107.2*C71/140</f>
        <v>122.51428571428572</v>
      </c>
      <c r="H71" s="190" t="s">
        <v>81</v>
      </c>
    </row>
    <row r="72" spans="1:8" ht="15.75">
      <c r="A72" s="252"/>
      <c r="B72" s="76" t="s">
        <v>184</v>
      </c>
      <c r="C72" s="131" t="s">
        <v>93</v>
      </c>
      <c r="D72" s="43">
        <v>2.33</v>
      </c>
      <c r="E72" s="43">
        <v>8.12</v>
      </c>
      <c r="F72" s="43">
        <v>15.55</v>
      </c>
      <c r="G72" s="16">
        <v>144.7</v>
      </c>
      <c r="H72" s="58" t="s">
        <v>66</v>
      </c>
    </row>
    <row r="73" spans="1:8" ht="25.5">
      <c r="A73" s="252"/>
      <c r="B73" s="76" t="s">
        <v>185</v>
      </c>
      <c r="C73" s="44" t="s">
        <v>87</v>
      </c>
      <c r="D73" s="50">
        <f>1.62432*C73/150</f>
        <v>2.1657599999999997</v>
      </c>
      <c r="E73" s="50">
        <f>1.66144*C73/150</f>
        <v>2.2152533333333335</v>
      </c>
      <c r="F73" s="50">
        <f>9.03266*C73/150</f>
        <v>12.043546666666666</v>
      </c>
      <c r="G73" s="50">
        <f>57.58088*C73/150</f>
        <v>76.77450666666667</v>
      </c>
      <c r="H73" s="31" t="s">
        <v>129</v>
      </c>
    </row>
    <row r="74" spans="1:8" ht="15.75" customHeight="1">
      <c r="A74" s="257" t="s">
        <v>10</v>
      </c>
      <c r="B74" s="258"/>
      <c r="C74" s="41">
        <v>410</v>
      </c>
      <c r="D74" s="45">
        <f>SUM(D71:D73)</f>
        <v>10.164837333333333</v>
      </c>
      <c r="E74" s="45">
        <f>SUM(E71:E73)</f>
        <v>12.638339047619047</v>
      </c>
      <c r="F74" s="45">
        <f>SUM(F71:F73)</f>
        <v>55.606986666666664</v>
      </c>
      <c r="G74" s="45">
        <f>SUM(G71:G73)</f>
        <v>343.9887923809524</v>
      </c>
      <c r="H74" s="132"/>
    </row>
    <row r="75" spans="1:8" ht="15.75">
      <c r="A75" s="141" t="s">
        <v>28</v>
      </c>
      <c r="B75" s="77" t="s">
        <v>293</v>
      </c>
      <c r="C75" s="41">
        <v>100</v>
      </c>
      <c r="D75" s="59">
        <v>1.1</v>
      </c>
      <c r="E75" s="59">
        <v>0.3</v>
      </c>
      <c r="F75" s="59">
        <v>8.9</v>
      </c>
      <c r="G75" s="59">
        <v>44</v>
      </c>
      <c r="H75" s="146" t="s">
        <v>64</v>
      </c>
    </row>
    <row r="76" spans="1:8" ht="15.75">
      <c r="A76" s="252" t="s">
        <v>11</v>
      </c>
      <c r="B76" s="78" t="s">
        <v>276</v>
      </c>
      <c r="C76" s="46">
        <v>50</v>
      </c>
      <c r="D76" s="43">
        <v>0.45</v>
      </c>
      <c r="E76" s="43">
        <v>2.89</v>
      </c>
      <c r="F76" s="43">
        <v>1.58</v>
      </c>
      <c r="G76" s="43">
        <v>34.12</v>
      </c>
      <c r="H76" s="46" t="s">
        <v>69</v>
      </c>
    </row>
    <row r="77" spans="1:8" ht="38.25">
      <c r="A77" s="252"/>
      <c r="B77" s="39" t="s">
        <v>146</v>
      </c>
      <c r="C77" s="30" t="s">
        <v>90</v>
      </c>
      <c r="D77" s="36">
        <v>4.95568</v>
      </c>
      <c r="E77" s="36">
        <v>4.33488</v>
      </c>
      <c r="F77" s="36">
        <v>15.13148</v>
      </c>
      <c r="G77" s="36">
        <v>119.3</v>
      </c>
      <c r="H77" s="31" t="s">
        <v>147</v>
      </c>
    </row>
    <row r="78" spans="1:8" ht="38.25">
      <c r="A78" s="252"/>
      <c r="B78" s="76" t="s">
        <v>188</v>
      </c>
      <c r="C78" s="58">
        <v>180</v>
      </c>
      <c r="D78" s="48">
        <f>15.67*C78/160</f>
        <v>17.62875</v>
      </c>
      <c r="E78" s="48">
        <f>14.94*C78/160</f>
        <v>16.807499999999997</v>
      </c>
      <c r="F78" s="48">
        <f>13.48*C78/160</f>
        <v>15.165000000000001</v>
      </c>
      <c r="G78" s="48">
        <f>251.05*C78/160</f>
        <v>282.43125</v>
      </c>
      <c r="H78" s="132" t="s">
        <v>85</v>
      </c>
    </row>
    <row r="79" spans="1:8" ht="25.5">
      <c r="A79" s="252"/>
      <c r="B79" s="76" t="s">
        <v>189</v>
      </c>
      <c r="C79" s="46">
        <v>180</v>
      </c>
      <c r="D79" s="43">
        <f>0.48*C79/150</f>
        <v>0.576</v>
      </c>
      <c r="E79" s="43">
        <f>0.2*C79/150</f>
        <v>0.24</v>
      </c>
      <c r="F79" s="43">
        <f>12.95*C79/150</f>
        <v>15.54</v>
      </c>
      <c r="G79" s="43">
        <f>55.52*C79/150</f>
        <v>66.62400000000001</v>
      </c>
      <c r="H79" s="132" t="s">
        <v>70</v>
      </c>
    </row>
    <row r="80" spans="1:8" ht="15.75">
      <c r="A80" s="252"/>
      <c r="B80" s="76" t="s">
        <v>12</v>
      </c>
      <c r="C80" s="46">
        <v>30</v>
      </c>
      <c r="D80" s="43">
        <f>1.32*C80/20</f>
        <v>1.98</v>
      </c>
      <c r="E80" s="43">
        <f>0.22*C80/20</f>
        <v>0.32999999999999996</v>
      </c>
      <c r="F80" s="43">
        <f>8.2*C80/20</f>
        <v>12.299999999999999</v>
      </c>
      <c r="G80" s="48">
        <f>40*C80/20</f>
        <v>60</v>
      </c>
      <c r="H80" s="132" t="s">
        <v>59</v>
      </c>
    </row>
    <row r="81" spans="1:8" ht="15.75">
      <c r="A81" s="252"/>
      <c r="B81" s="76" t="s">
        <v>40</v>
      </c>
      <c r="C81" s="136">
        <v>30</v>
      </c>
      <c r="D81" s="43">
        <f>2.28*C81/30</f>
        <v>2.28</v>
      </c>
      <c r="E81" s="43">
        <f>0.24*C81/30</f>
        <v>0.23999999999999996</v>
      </c>
      <c r="F81" s="43">
        <f>14.76*C81/30</f>
        <v>14.76</v>
      </c>
      <c r="G81" s="43">
        <f>70.5*C81/30</f>
        <v>70.5</v>
      </c>
      <c r="H81" s="132" t="s">
        <v>58</v>
      </c>
    </row>
    <row r="82" spans="1:8" ht="15.75">
      <c r="A82" s="257" t="s">
        <v>13</v>
      </c>
      <c r="B82" s="258"/>
      <c r="C82" s="41">
        <v>680</v>
      </c>
      <c r="D82" s="49">
        <f>SUM(D76:D81)</f>
        <v>27.870430000000002</v>
      </c>
      <c r="E82" s="49">
        <f>SUM(E76:E81)</f>
        <v>24.84237999999999</v>
      </c>
      <c r="F82" s="49">
        <f>SUM(F76:F81)</f>
        <v>74.47648</v>
      </c>
      <c r="G82" s="49">
        <f>SUM(G76:G81)</f>
        <v>632.97525</v>
      </c>
      <c r="H82" s="132"/>
    </row>
    <row r="83" spans="1:8" ht="25.5">
      <c r="A83" s="251" t="s">
        <v>109</v>
      </c>
      <c r="B83" s="76" t="s">
        <v>306</v>
      </c>
      <c r="C83" s="58">
        <v>70</v>
      </c>
      <c r="D83" s="48">
        <f>6.13256*C83/50</f>
        <v>8.585584</v>
      </c>
      <c r="E83" s="48">
        <f>4.6948*C83/50</f>
        <v>6.5727199999999995</v>
      </c>
      <c r="F83" s="48">
        <f>7.10073*C83/50</f>
        <v>9.941022</v>
      </c>
      <c r="G83" s="48">
        <f>95*C83/50</f>
        <v>133</v>
      </c>
      <c r="H83" s="132" t="s">
        <v>244</v>
      </c>
    </row>
    <row r="84" spans="1:8" ht="38.25">
      <c r="A84" s="251"/>
      <c r="B84" s="76" t="s">
        <v>307</v>
      </c>
      <c r="C84" s="58">
        <v>130</v>
      </c>
      <c r="D84" s="48">
        <v>2.59</v>
      </c>
      <c r="E84" s="48">
        <v>5.22</v>
      </c>
      <c r="F84" s="48">
        <v>14.27</v>
      </c>
      <c r="G84" s="48">
        <v>114.4</v>
      </c>
      <c r="H84" s="58" t="s">
        <v>77</v>
      </c>
    </row>
    <row r="85" spans="1:8" ht="15.75">
      <c r="A85" s="251"/>
      <c r="B85" s="76" t="s">
        <v>190</v>
      </c>
      <c r="C85" s="46">
        <v>180</v>
      </c>
      <c r="D85" s="43">
        <f>0.23*C85/180</f>
        <v>0.22999999999999998</v>
      </c>
      <c r="E85" s="43">
        <f>0.05*C85/180</f>
        <v>0.05</v>
      </c>
      <c r="F85" s="43">
        <f>6.98*C85/180</f>
        <v>6.98</v>
      </c>
      <c r="G85" s="48">
        <f>29.34*C85/180</f>
        <v>29.34</v>
      </c>
      <c r="H85" s="132" t="s">
        <v>63</v>
      </c>
    </row>
    <row r="86" spans="1:8" ht="15.75">
      <c r="A86" s="251"/>
      <c r="B86" s="76" t="s">
        <v>40</v>
      </c>
      <c r="C86" s="136">
        <v>30</v>
      </c>
      <c r="D86" s="43">
        <f>2.28*C86/30</f>
        <v>2.28</v>
      </c>
      <c r="E86" s="43">
        <f>0.24*C86/30</f>
        <v>0.23999999999999996</v>
      </c>
      <c r="F86" s="43">
        <f>14.76*C86/30</f>
        <v>14.76</v>
      </c>
      <c r="G86" s="43">
        <f>70.5*C86/30</f>
        <v>70.5</v>
      </c>
      <c r="H86" s="132" t="s">
        <v>58</v>
      </c>
    </row>
    <row r="87" spans="1:8" ht="15.75">
      <c r="A87" s="251"/>
      <c r="B87" s="76" t="s">
        <v>12</v>
      </c>
      <c r="C87" s="46">
        <v>30</v>
      </c>
      <c r="D87" s="43">
        <f>1.32*C87/20</f>
        <v>1.98</v>
      </c>
      <c r="E87" s="43">
        <f>0.22*C87/20</f>
        <v>0.32999999999999996</v>
      </c>
      <c r="F87" s="43">
        <f>8.2*C87/20</f>
        <v>12.299999999999999</v>
      </c>
      <c r="G87" s="48">
        <f>40*C87/20</f>
        <v>60</v>
      </c>
      <c r="H87" s="132" t="s">
        <v>59</v>
      </c>
    </row>
    <row r="88" spans="1:8" ht="15.75">
      <c r="A88" s="264" t="s">
        <v>110</v>
      </c>
      <c r="B88" s="265"/>
      <c r="C88" s="41">
        <f>SUM(C83:C87)</f>
        <v>440</v>
      </c>
      <c r="D88" s="49">
        <f>SUM(D83:D87)</f>
        <v>15.665584</v>
      </c>
      <c r="E88" s="49">
        <f>SUM(E83:E87)</f>
        <v>12.41272</v>
      </c>
      <c r="F88" s="49">
        <f>SUM(F83:F87)</f>
        <v>58.251022</v>
      </c>
      <c r="G88" s="49">
        <f>SUM(G83:G87)</f>
        <v>407.24</v>
      </c>
      <c r="H88" s="132"/>
    </row>
    <row r="89" spans="1:8" ht="15.75">
      <c r="A89" s="266" t="s">
        <v>16</v>
      </c>
      <c r="B89" s="267"/>
      <c r="C89" s="57">
        <f>C74+C75+C82+C88</f>
        <v>1630</v>
      </c>
      <c r="D89" s="57">
        <f>D74+D75+D82+D88</f>
        <v>54.800851333333334</v>
      </c>
      <c r="E89" s="57">
        <f>E74+E75+E82+E88</f>
        <v>50.19343904761904</v>
      </c>
      <c r="F89" s="57">
        <f>F74+F75+F82+F88</f>
        <v>197.23448866666666</v>
      </c>
      <c r="G89" s="57">
        <f>G74+G75+G82+G88</f>
        <v>1428.2040423809524</v>
      </c>
      <c r="H89" s="148"/>
    </row>
    <row r="90" spans="1:8" ht="15.75">
      <c r="A90" s="261" t="s">
        <v>34</v>
      </c>
      <c r="B90" s="262"/>
      <c r="C90" s="262"/>
      <c r="D90" s="262"/>
      <c r="E90" s="262"/>
      <c r="F90" s="262"/>
      <c r="G90" s="262"/>
      <c r="H90" s="263"/>
    </row>
    <row r="91" spans="1:8" ht="25.5">
      <c r="A91" s="252" t="s">
        <v>9</v>
      </c>
      <c r="B91" s="39" t="s">
        <v>207</v>
      </c>
      <c r="C91" s="46">
        <v>160</v>
      </c>
      <c r="D91" s="43">
        <f>4.8645*C91/150</f>
        <v>5.1888</v>
      </c>
      <c r="E91" s="43">
        <f>2.4552*C91/150</f>
        <v>2.61888</v>
      </c>
      <c r="F91" s="43">
        <f>23.78649*C91/150</f>
        <v>25.372256</v>
      </c>
      <c r="G91" s="48">
        <f>109.3*C91/140</f>
        <v>124.91428571428571</v>
      </c>
      <c r="H91" s="135" t="s">
        <v>83</v>
      </c>
    </row>
    <row r="92" spans="1:8" ht="15.75">
      <c r="A92" s="252"/>
      <c r="B92" s="76" t="s">
        <v>184</v>
      </c>
      <c r="C92" s="131" t="s">
        <v>93</v>
      </c>
      <c r="D92" s="43">
        <v>2.33</v>
      </c>
      <c r="E92" s="43">
        <v>8.12</v>
      </c>
      <c r="F92" s="43">
        <v>15.55</v>
      </c>
      <c r="G92" s="16">
        <v>144.7</v>
      </c>
      <c r="H92" s="58" t="s">
        <v>66</v>
      </c>
    </row>
    <row r="93" spans="1:8" ht="25.5">
      <c r="A93" s="252"/>
      <c r="B93" s="39" t="s">
        <v>199</v>
      </c>
      <c r="C93" s="46">
        <v>200</v>
      </c>
      <c r="D93" s="48">
        <f>2.46*C93/180</f>
        <v>2.7333333333333334</v>
      </c>
      <c r="E93" s="48">
        <f>1.86*C93/180</f>
        <v>2.066666666666667</v>
      </c>
      <c r="F93" s="48">
        <f>11.94*C93/180</f>
        <v>13.266666666666667</v>
      </c>
      <c r="G93" s="48">
        <f>64*C93/180</f>
        <v>71.11111111111111</v>
      </c>
      <c r="H93" s="135" t="s">
        <v>78</v>
      </c>
    </row>
    <row r="94" spans="1:8" ht="15.75" customHeight="1">
      <c r="A94" s="257" t="s">
        <v>10</v>
      </c>
      <c r="B94" s="258"/>
      <c r="C94" s="133" t="s">
        <v>175</v>
      </c>
      <c r="D94" s="45">
        <f>SUM(D91:D93)</f>
        <v>10.252133333333333</v>
      </c>
      <c r="E94" s="45">
        <f>SUM(E91:E93)</f>
        <v>12.805546666666665</v>
      </c>
      <c r="F94" s="45">
        <f>SUM(F91:F93)</f>
        <v>54.18892266666667</v>
      </c>
      <c r="G94" s="45">
        <f>SUM(G91:G93)</f>
        <v>340.72539682539684</v>
      </c>
      <c r="H94" s="132"/>
    </row>
    <row r="95" spans="1:8" ht="15.75">
      <c r="A95" s="42" t="s">
        <v>38</v>
      </c>
      <c r="B95" s="39" t="s">
        <v>148</v>
      </c>
      <c r="C95" s="60">
        <v>180</v>
      </c>
      <c r="D95" s="200">
        <f>4.05*C95/150</f>
        <v>4.86</v>
      </c>
      <c r="E95" s="200">
        <f>4.5*C95/150</f>
        <v>5.4</v>
      </c>
      <c r="F95" s="200">
        <f>6.6*C95/150</f>
        <v>7.92</v>
      </c>
      <c r="G95" s="200">
        <f>81*C95/150</f>
        <v>97.2</v>
      </c>
      <c r="H95" s="132" t="s">
        <v>61</v>
      </c>
    </row>
    <row r="96" spans="1:8" ht="15.75">
      <c r="A96" s="252" t="s">
        <v>11</v>
      </c>
      <c r="B96" s="39" t="s">
        <v>277</v>
      </c>
      <c r="C96" s="30">
        <v>50</v>
      </c>
      <c r="D96" s="201">
        <f>0.4*C96/50</f>
        <v>0.4</v>
      </c>
      <c r="E96" s="201">
        <f>0.05*C96/50</f>
        <v>0.05</v>
      </c>
      <c r="F96" s="201">
        <f>0.85*C96/50</f>
        <v>0.85</v>
      </c>
      <c r="G96" s="202">
        <f>6.5*C96/50</f>
        <v>6.5</v>
      </c>
      <c r="H96" s="31" t="s">
        <v>123</v>
      </c>
    </row>
    <row r="97" spans="1:8" ht="51">
      <c r="A97" s="252"/>
      <c r="B97" s="39" t="s">
        <v>208</v>
      </c>
      <c r="C97" s="46" t="s">
        <v>89</v>
      </c>
      <c r="D97" s="52">
        <v>4.55</v>
      </c>
      <c r="E97" s="52">
        <v>7.21</v>
      </c>
      <c r="F97" s="52">
        <v>10.33</v>
      </c>
      <c r="G97" s="52">
        <v>124.44</v>
      </c>
      <c r="H97" s="58" t="s">
        <v>92</v>
      </c>
    </row>
    <row r="98" spans="1:8" ht="26.25">
      <c r="A98" s="252"/>
      <c r="B98" s="83" t="s">
        <v>149</v>
      </c>
      <c r="C98" s="24">
        <v>70</v>
      </c>
      <c r="D98" s="50">
        <f>7.63844*C98/50</f>
        <v>10.693816</v>
      </c>
      <c r="E98" s="50">
        <f>7.97192*C98/50</f>
        <v>11.160688</v>
      </c>
      <c r="F98" s="50">
        <f>7.10073*C98/50</f>
        <v>9.941022</v>
      </c>
      <c r="G98" s="50">
        <f>130.70396*C98/50</f>
        <v>182.985544</v>
      </c>
      <c r="H98" s="31" t="s">
        <v>150</v>
      </c>
    </row>
    <row r="99" spans="1:8" ht="25.5">
      <c r="A99" s="252"/>
      <c r="B99" s="39" t="s">
        <v>209</v>
      </c>
      <c r="C99" s="136">
        <v>130</v>
      </c>
      <c r="D99" s="16">
        <v>4.73</v>
      </c>
      <c r="E99" s="16">
        <v>2.75</v>
      </c>
      <c r="F99" s="16">
        <v>29.23</v>
      </c>
      <c r="G99" s="52">
        <v>160.63</v>
      </c>
      <c r="H99" s="58" t="s">
        <v>73</v>
      </c>
    </row>
    <row r="100" spans="1:8" ht="25.5">
      <c r="A100" s="252"/>
      <c r="B100" s="39" t="s">
        <v>173</v>
      </c>
      <c r="C100" s="30">
        <v>180</v>
      </c>
      <c r="D100" s="36">
        <f>0.171*C100/150</f>
        <v>0.20520000000000002</v>
      </c>
      <c r="E100" s="36">
        <f>0.0705*C100/150</f>
        <v>0.0846</v>
      </c>
      <c r="F100" s="36">
        <f>14.8603*C100/150</f>
        <v>17.83236</v>
      </c>
      <c r="G100" s="36">
        <f>60.7*C100/150</f>
        <v>72.84</v>
      </c>
      <c r="H100" s="132" t="s">
        <v>241</v>
      </c>
    </row>
    <row r="101" spans="1:8" ht="15.75">
      <c r="A101" s="252"/>
      <c r="B101" s="76" t="s">
        <v>12</v>
      </c>
      <c r="C101" s="46">
        <v>25</v>
      </c>
      <c r="D101" s="43">
        <f>1.32*C101/20</f>
        <v>1.65</v>
      </c>
      <c r="E101" s="43">
        <f>0.22*C101/20</f>
        <v>0.275</v>
      </c>
      <c r="F101" s="43">
        <f>8.2*C101/20</f>
        <v>10.249999999999998</v>
      </c>
      <c r="G101" s="48">
        <f>40*C101/20</f>
        <v>50</v>
      </c>
      <c r="H101" s="132" t="s">
        <v>59</v>
      </c>
    </row>
    <row r="102" spans="1:8" ht="15.75">
      <c r="A102" s="252"/>
      <c r="B102" s="76" t="s">
        <v>40</v>
      </c>
      <c r="C102" s="136">
        <v>25</v>
      </c>
      <c r="D102" s="43">
        <f>2.28*C102/30</f>
        <v>1.8999999999999997</v>
      </c>
      <c r="E102" s="43">
        <f>0.24*C102/30</f>
        <v>0.2</v>
      </c>
      <c r="F102" s="43">
        <f>14.76*C102/30</f>
        <v>12.3</v>
      </c>
      <c r="G102" s="43">
        <f>70.5*C102/30</f>
        <v>58.75</v>
      </c>
      <c r="H102" s="132" t="s">
        <v>58</v>
      </c>
    </row>
    <row r="103" spans="1:8" ht="15.75">
      <c r="A103" s="259" t="s">
        <v>19</v>
      </c>
      <c r="B103" s="260"/>
      <c r="C103" s="41">
        <v>700</v>
      </c>
      <c r="D103" s="49">
        <f>SUM(D96:D102)</f>
        <v>24.129016</v>
      </c>
      <c r="E103" s="49">
        <f>SUM(E96:E102)</f>
        <v>21.730287999999994</v>
      </c>
      <c r="F103" s="49">
        <f>SUM(F96:F102)</f>
        <v>90.73338199999999</v>
      </c>
      <c r="G103" s="49">
        <f>SUM(G96:G102)</f>
        <v>656.145544</v>
      </c>
      <c r="H103" s="132"/>
    </row>
    <row r="104" spans="1:8" ht="51">
      <c r="A104" s="251" t="s">
        <v>109</v>
      </c>
      <c r="B104" s="102" t="s">
        <v>266</v>
      </c>
      <c r="C104" s="140" t="s">
        <v>119</v>
      </c>
      <c r="D104" s="16">
        <v>23.903654399999997</v>
      </c>
      <c r="E104" s="16">
        <v>8.409667199999998</v>
      </c>
      <c r="F104" s="16">
        <v>37.4664576</v>
      </c>
      <c r="G104" s="48">
        <v>317.6</v>
      </c>
      <c r="H104" s="192" t="s">
        <v>122</v>
      </c>
    </row>
    <row r="105" spans="1:8" ht="38.25">
      <c r="A105" s="251"/>
      <c r="B105" s="79" t="s">
        <v>151</v>
      </c>
      <c r="C105" s="24">
        <v>50</v>
      </c>
      <c r="D105" s="50">
        <v>4.57498</v>
      </c>
      <c r="E105" s="50">
        <v>4.5684320000000005</v>
      </c>
      <c r="F105" s="50">
        <v>26.6903</v>
      </c>
      <c r="G105" s="50">
        <v>154.177008</v>
      </c>
      <c r="H105" s="31" t="s">
        <v>152</v>
      </c>
    </row>
    <row r="106" spans="1:8" ht="15.75">
      <c r="A106" s="251"/>
      <c r="B106" s="84" t="s">
        <v>191</v>
      </c>
      <c r="C106" s="30">
        <v>180</v>
      </c>
      <c r="D106" s="36">
        <f>0.09*C106/150</f>
        <v>0.108</v>
      </c>
      <c r="E106" s="36">
        <v>0</v>
      </c>
      <c r="F106" s="36">
        <f>12.27*C106/150</f>
        <v>14.724</v>
      </c>
      <c r="G106" s="36">
        <f>49.47*C106/150</f>
        <v>59.364000000000004</v>
      </c>
      <c r="H106" s="24" t="s">
        <v>153</v>
      </c>
    </row>
    <row r="107" spans="1:8" ht="15.75">
      <c r="A107" s="268" t="s">
        <v>110</v>
      </c>
      <c r="B107" s="269"/>
      <c r="C107" s="53" t="s">
        <v>115</v>
      </c>
      <c r="D107" s="54">
        <f>SUM(D104:D106)</f>
        <v>28.586634399999998</v>
      </c>
      <c r="E107" s="54">
        <f>SUM(E104:E106)</f>
        <v>12.978099199999999</v>
      </c>
      <c r="F107" s="54">
        <f>SUM(F104:F106)</f>
        <v>78.8807576</v>
      </c>
      <c r="G107" s="54">
        <f>SUM(G104:G106)</f>
        <v>531.141008</v>
      </c>
      <c r="H107" s="135"/>
    </row>
    <row r="108" spans="1:8" ht="15.75">
      <c r="A108" s="149" t="s">
        <v>17</v>
      </c>
      <c r="B108" s="85"/>
      <c r="C108" s="56"/>
      <c r="D108" s="57">
        <f>D94+D95+D103+D107</f>
        <v>67.82778373333333</v>
      </c>
      <c r="E108" s="57">
        <f>E94+E95+E103+E107</f>
        <v>52.91393386666665</v>
      </c>
      <c r="F108" s="57">
        <f>F94+F95+F103+F107</f>
        <v>231.72306226666666</v>
      </c>
      <c r="G108" s="57">
        <f>G94+G95+G103+G107</f>
        <v>1625.2119488253968</v>
      </c>
      <c r="H108" s="142"/>
    </row>
    <row r="109" spans="1:8" ht="15.75">
      <c r="A109" s="270" t="s">
        <v>172</v>
      </c>
      <c r="B109" s="271"/>
      <c r="C109" s="272"/>
      <c r="D109" s="150">
        <f>(D108+D89+D69+D50+D30)/5</f>
        <v>61.20705818300032</v>
      </c>
      <c r="E109" s="150">
        <f>(E108+E89+E69+E50+E30)/5</f>
        <v>55.65966653189331</v>
      </c>
      <c r="F109" s="150">
        <f>(F108+F89+F69+F50+F30)/5</f>
        <v>222.77258284950798</v>
      </c>
      <c r="G109" s="150">
        <f>(G108+G89+G69+G50+G30)/5</f>
        <v>1592.2523891169599</v>
      </c>
      <c r="H109" s="151"/>
    </row>
    <row r="110" spans="1:8" ht="15.75">
      <c r="A110" s="264" t="s">
        <v>27</v>
      </c>
      <c r="B110" s="273"/>
      <c r="C110" s="273"/>
      <c r="D110" s="273"/>
      <c r="E110" s="273"/>
      <c r="F110" s="273"/>
      <c r="G110" s="273"/>
      <c r="H110" s="265"/>
    </row>
    <row r="111" spans="1:8" ht="15.75">
      <c r="A111" s="261" t="s">
        <v>18</v>
      </c>
      <c r="B111" s="262"/>
      <c r="C111" s="262"/>
      <c r="D111" s="262"/>
      <c r="E111" s="262"/>
      <c r="F111" s="262"/>
      <c r="G111" s="262"/>
      <c r="H111" s="263"/>
    </row>
    <row r="112" spans="1:8" ht="25.5">
      <c r="A112" s="252" t="s">
        <v>9</v>
      </c>
      <c r="B112" s="39" t="s">
        <v>255</v>
      </c>
      <c r="C112" s="58">
        <v>160</v>
      </c>
      <c r="D112" s="48">
        <f>3.720426*C112/130</f>
        <v>4.578985846153846</v>
      </c>
      <c r="E112" s="48">
        <f>2.028048*C112/130</f>
        <v>2.496059076923077</v>
      </c>
      <c r="F112" s="48">
        <f>17.960488*C112/130</f>
        <v>22.105216000000002</v>
      </c>
      <c r="G112" s="48">
        <f>111.9*C112/140</f>
        <v>127.88571428571429</v>
      </c>
      <c r="H112" s="135" t="s">
        <v>71</v>
      </c>
    </row>
    <row r="113" spans="1:8" ht="15.75">
      <c r="A113" s="252"/>
      <c r="B113" s="76" t="s">
        <v>184</v>
      </c>
      <c r="C113" s="131" t="s">
        <v>93</v>
      </c>
      <c r="D113" s="43">
        <v>2.33</v>
      </c>
      <c r="E113" s="43">
        <v>8.12</v>
      </c>
      <c r="F113" s="43">
        <v>15.55</v>
      </c>
      <c r="G113" s="16">
        <v>144.7</v>
      </c>
      <c r="H113" s="58" t="s">
        <v>66</v>
      </c>
    </row>
    <row r="114" spans="1:8" ht="25.5">
      <c r="A114" s="252"/>
      <c r="B114" s="39" t="s">
        <v>199</v>
      </c>
      <c r="C114" s="46">
        <v>200</v>
      </c>
      <c r="D114" s="48">
        <f>2.46*C114/180</f>
        <v>2.7333333333333334</v>
      </c>
      <c r="E114" s="48">
        <f>1.86*C114/180</f>
        <v>2.066666666666667</v>
      </c>
      <c r="F114" s="48">
        <f>11.94*C114/180</f>
        <v>13.266666666666667</v>
      </c>
      <c r="G114" s="48">
        <f>64*C114/180</f>
        <v>71.11111111111111</v>
      </c>
      <c r="H114" s="135" t="s">
        <v>78</v>
      </c>
    </row>
    <row r="115" spans="1:8" ht="15.75">
      <c r="A115" s="264" t="s">
        <v>10</v>
      </c>
      <c r="B115" s="265"/>
      <c r="C115" s="41">
        <v>410</v>
      </c>
      <c r="D115" s="49">
        <f>SUM(D112:D114)</f>
        <v>9.64231917948718</v>
      </c>
      <c r="E115" s="49">
        <f>SUM(E112:E114)</f>
        <v>12.682725743589742</v>
      </c>
      <c r="F115" s="49">
        <f>SUM(F112:F114)</f>
        <v>50.92188266666667</v>
      </c>
      <c r="G115" s="49">
        <f>SUM(G112:G114)</f>
        <v>343.6968253968254</v>
      </c>
      <c r="H115" s="132"/>
    </row>
    <row r="116" spans="1:8" ht="15.75">
      <c r="A116" s="141" t="s">
        <v>29</v>
      </c>
      <c r="B116" s="77" t="s">
        <v>41</v>
      </c>
      <c r="C116" s="41">
        <v>180</v>
      </c>
      <c r="D116" s="59">
        <f>0.75*C116/150</f>
        <v>0.9</v>
      </c>
      <c r="E116" s="59">
        <f>0.15*C116/150</f>
        <v>0.18</v>
      </c>
      <c r="F116" s="59">
        <f>15.15*C116/150</f>
        <v>18.18</v>
      </c>
      <c r="G116" s="59">
        <f>69*C116/150</f>
        <v>82.8</v>
      </c>
      <c r="H116" s="132" t="s">
        <v>54</v>
      </c>
    </row>
    <row r="117" spans="1:8" ht="15.75">
      <c r="A117" s="252" t="s">
        <v>11</v>
      </c>
      <c r="B117" s="102" t="s">
        <v>294</v>
      </c>
      <c r="C117" s="30">
        <v>50</v>
      </c>
      <c r="D117" s="201">
        <f>0.246525*C117/30</f>
        <v>0.410875</v>
      </c>
      <c r="E117" s="201">
        <f>1.473168*C117/30</f>
        <v>2.45528</v>
      </c>
      <c r="F117" s="201">
        <f>2.175537*C117/30</f>
        <v>3.625895</v>
      </c>
      <c r="G117" s="202">
        <f>22.94676*C117/30</f>
        <v>38.2446</v>
      </c>
      <c r="H117" s="31" t="s">
        <v>155</v>
      </c>
    </row>
    <row r="118" spans="1:8" ht="38.25">
      <c r="A118" s="252"/>
      <c r="B118" s="39" t="s">
        <v>210</v>
      </c>
      <c r="C118" s="24" t="s">
        <v>90</v>
      </c>
      <c r="D118" s="50">
        <v>3.770688</v>
      </c>
      <c r="E118" s="50">
        <v>6.126298666666667</v>
      </c>
      <c r="F118" s="50">
        <v>8.242173333333334</v>
      </c>
      <c r="G118" s="50">
        <v>103.2</v>
      </c>
      <c r="H118" s="31" t="s">
        <v>164</v>
      </c>
    </row>
    <row r="119" spans="1:8" ht="26.25">
      <c r="A119" s="252"/>
      <c r="B119" s="83" t="s">
        <v>156</v>
      </c>
      <c r="C119" s="24">
        <v>70</v>
      </c>
      <c r="D119" s="50">
        <f>7.63844*C119/50</f>
        <v>10.693816</v>
      </c>
      <c r="E119" s="50">
        <f>7.97192*C119/50</f>
        <v>11.160688</v>
      </c>
      <c r="F119" s="50">
        <f>7.10073*C119/50</f>
        <v>9.941022</v>
      </c>
      <c r="G119" s="50">
        <f>130.70396*C119/50</f>
        <v>182.985544</v>
      </c>
      <c r="H119" s="31" t="s">
        <v>150</v>
      </c>
    </row>
    <row r="120" spans="1:8" ht="25.5">
      <c r="A120" s="252"/>
      <c r="B120" s="39" t="s">
        <v>205</v>
      </c>
      <c r="C120" s="58">
        <v>130</v>
      </c>
      <c r="D120" s="48">
        <f>2.45*C120/120</f>
        <v>2.654166666666667</v>
      </c>
      <c r="E120" s="48">
        <f>3.43*C120/120</f>
        <v>3.7158333333333338</v>
      </c>
      <c r="F120" s="48">
        <f>16.05*C120/120</f>
        <v>17.3875</v>
      </c>
      <c r="G120" s="48">
        <v>95</v>
      </c>
      <c r="H120" s="132" t="s">
        <v>57</v>
      </c>
    </row>
    <row r="121" spans="1:8" ht="15.75">
      <c r="A121" s="252"/>
      <c r="B121" s="76" t="s">
        <v>49</v>
      </c>
      <c r="C121" s="136">
        <v>180</v>
      </c>
      <c r="D121" s="43">
        <f>0.74*C121/150</f>
        <v>0.8879999999999999</v>
      </c>
      <c r="E121" s="43">
        <f>0.04*C121/150</f>
        <v>0.048</v>
      </c>
      <c r="F121" s="43">
        <f>14.23*C121/150</f>
        <v>17.076</v>
      </c>
      <c r="G121" s="43">
        <f>60.25*C121/150</f>
        <v>72.3</v>
      </c>
      <c r="H121" s="132" t="s">
        <v>60</v>
      </c>
    </row>
    <row r="122" spans="1:8" ht="15.75">
      <c r="A122" s="252"/>
      <c r="B122" s="76" t="s">
        <v>12</v>
      </c>
      <c r="C122" s="46">
        <v>30</v>
      </c>
      <c r="D122" s="43">
        <f>1.32*C122/20</f>
        <v>1.98</v>
      </c>
      <c r="E122" s="43">
        <f>0.22*C122/20</f>
        <v>0.32999999999999996</v>
      </c>
      <c r="F122" s="43">
        <f>8.2*C122/20</f>
        <v>12.299999999999999</v>
      </c>
      <c r="G122" s="48">
        <f>40*C122/20</f>
        <v>60</v>
      </c>
      <c r="H122" s="132" t="s">
        <v>59</v>
      </c>
    </row>
    <row r="123" spans="1:8" ht="15.75">
      <c r="A123" s="252"/>
      <c r="B123" s="76" t="s">
        <v>40</v>
      </c>
      <c r="C123" s="136">
        <v>30</v>
      </c>
      <c r="D123" s="43">
        <f>2.28*C123/30</f>
        <v>2.28</v>
      </c>
      <c r="E123" s="43">
        <f>0.24*C123/30</f>
        <v>0.23999999999999996</v>
      </c>
      <c r="F123" s="43">
        <f>14.76*C123/30</f>
        <v>14.76</v>
      </c>
      <c r="G123" s="43">
        <f>70.5*C123/30</f>
        <v>70.5</v>
      </c>
      <c r="H123" s="132" t="s">
        <v>58</v>
      </c>
    </row>
    <row r="124" spans="1:8" ht="15.75">
      <c r="A124" s="264" t="s">
        <v>13</v>
      </c>
      <c r="B124" s="265"/>
      <c r="C124" s="42">
        <v>700</v>
      </c>
      <c r="D124" s="54">
        <f>SUM(D117:D123)</f>
        <v>22.677545666666663</v>
      </c>
      <c r="E124" s="54">
        <f>SUM(E117:E123)</f>
        <v>24.076099999999993</v>
      </c>
      <c r="F124" s="54">
        <f>SUM(F117:F123)</f>
        <v>83.33259033333334</v>
      </c>
      <c r="G124" s="54">
        <f>SUM(G117:G123)</f>
        <v>622.2301440000001</v>
      </c>
      <c r="H124" s="132"/>
    </row>
    <row r="125" spans="1:8" ht="15.75">
      <c r="A125" s="251" t="s">
        <v>109</v>
      </c>
      <c r="B125" s="152" t="s">
        <v>157</v>
      </c>
      <c r="C125" s="58">
        <v>50</v>
      </c>
      <c r="D125" s="48">
        <f>0.48*C125/30</f>
        <v>0.8</v>
      </c>
      <c r="E125" s="48">
        <f>0.12*C125/30</f>
        <v>0.2</v>
      </c>
      <c r="F125" s="48">
        <f>4.29*C125/30</f>
        <v>7.15</v>
      </c>
      <c r="G125" s="48">
        <f>20.7*C125/30</f>
        <v>34.5</v>
      </c>
      <c r="H125" s="132" t="s">
        <v>251</v>
      </c>
    </row>
    <row r="126" spans="1:8" ht="25.5">
      <c r="A126" s="251"/>
      <c r="B126" s="39" t="s">
        <v>211</v>
      </c>
      <c r="C126" s="58">
        <v>180</v>
      </c>
      <c r="D126" s="48">
        <f>14.84119*C126/130</f>
        <v>20.549339999999997</v>
      </c>
      <c r="E126" s="48">
        <f>19.2335*C126/130</f>
        <v>26.630999999999997</v>
      </c>
      <c r="F126" s="48">
        <f>2.04461833333333*C126/130</f>
        <v>2.8310099999999956</v>
      </c>
      <c r="G126" s="48">
        <f>240.6*C126/130</f>
        <v>333.1384615384615</v>
      </c>
      <c r="H126" s="187" t="s">
        <v>270</v>
      </c>
    </row>
    <row r="127" spans="1:8" ht="15.75">
      <c r="A127" s="251"/>
      <c r="B127" s="76" t="s">
        <v>190</v>
      </c>
      <c r="C127" s="46">
        <v>200</v>
      </c>
      <c r="D127" s="43">
        <f>0.23*C127/180</f>
        <v>0.25555555555555554</v>
      </c>
      <c r="E127" s="43">
        <f>0.05*C127/180</f>
        <v>0.05555555555555555</v>
      </c>
      <c r="F127" s="43">
        <f>6.98*C127/180</f>
        <v>7.7555555555555555</v>
      </c>
      <c r="G127" s="48">
        <f>29.34*C127/180</f>
        <v>32.6</v>
      </c>
      <c r="H127" s="132" t="s">
        <v>63</v>
      </c>
    </row>
    <row r="128" spans="1:8" ht="15.75">
      <c r="A128" s="251"/>
      <c r="B128" s="76" t="s">
        <v>12</v>
      </c>
      <c r="C128" s="46">
        <v>30</v>
      </c>
      <c r="D128" s="43">
        <f>1.32*C128/20</f>
        <v>1.98</v>
      </c>
      <c r="E128" s="43">
        <f>0.22*C128/20</f>
        <v>0.32999999999999996</v>
      </c>
      <c r="F128" s="43">
        <f>8.2*C128/20</f>
        <v>12.299999999999999</v>
      </c>
      <c r="G128" s="48">
        <f>40*C128/20</f>
        <v>60</v>
      </c>
      <c r="H128" s="132" t="s">
        <v>59</v>
      </c>
    </row>
    <row r="129" spans="1:8" ht="15.75">
      <c r="A129" s="251"/>
      <c r="B129" s="86" t="s">
        <v>116</v>
      </c>
      <c r="C129" s="30">
        <v>11</v>
      </c>
      <c r="D129" s="36">
        <v>0.8</v>
      </c>
      <c r="E129" s="36">
        <v>2.1</v>
      </c>
      <c r="F129" s="36">
        <v>7.5</v>
      </c>
      <c r="G129" s="36">
        <v>52</v>
      </c>
      <c r="H129" s="37" t="s">
        <v>117</v>
      </c>
    </row>
    <row r="130" spans="1:8" ht="15.75">
      <c r="A130" s="264" t="s">
        <v>110</v>
      </c>
      <c r="B130" s="265"/>
      <c r="C130" s="42">
        <v>471</v>
      </c>
      <c r="D130" s="54">
        <f>SUM(D125:D129)</f>
        <v>24.384895555555556</v>
      </c>
      <c r="E130" s="54">
        <f>SUM(E125:E129)</f>
        <v>29.316555555555553</v>
      </c>
      <c r="F130" s="54">
        <f>SUM(F125:F129)</f>
        <v>37.53656555555555</v>
      </c>
      <c r="G130" s="54">
        <f>SUM(G125:G129)</f>
        <v>512.2384615384615</v>
      </c>
      <c r="H130" s="132"/>
    </row>
    <row r="131" spans="1:8" ht="15.75">
      <c r="A131" s="153" t="s">
        <v>39</v>
      </c>
      <c r="B131" s="87"/>
      <c r="C131" s="154"/>
      <c r="D131" s="155">
        <f>D115+D116+D124+D130</f>
        <v>57.6047604017094</v>
      </c>
      <c r="E131" s="155">
        <f>E115+E116+E124+E130</f>
        <v>66.25538129914528</v>
      </c>
      <c r="F131" s="155">
        <f>F115+F116+F124+F130</f>
        <v>189.97103855555557</v>
      </c>
      <c r="G131" s="155">
        <f>G115+G116+G124+G130</f>
        <v>1560.965430935287</v>
      </c>
      <c r="H131" s="156"/>
    </row>
    <row r="132" spans="1:8" ht="15.75">
      <c r="A132" s="261" t="s">
        <v>21</v>
      </c>
      <c r="B132" s="262"/>
      <c r="C132" s="262"/>
      <c r="D132" s="262"/>
      <c r="E132" s="262"/>
      <c r="F132" s="262"/>
      <c r="G132" s="262"/>
      <c r="H132" s="263"/>
    </row>
    <row r="133" spans="1:8" ht="38.25">
      <c r="A133" s="252" t="s">
        <v>9</v>
      </c>
      <c r="B133" s="39" t="s">
        <v>256</v>
      </c>
      <c r="C133" s="62" t="s">
        <v>88</v>
      </c>
      <c r="D133" s="36">
        <v>5.05109</v>
      </c>
      <c r="E133" s="36">
        <v>3.0734</v>
      </c>
      <c r="F133" s="36">
        <v>27.133106</v>
      </c>
      <c r="G133" s="36" t="s">
        <v>177</v>
      </c>
      <c r="H133" s="139" t="s">
        <v>158</v>
      </c>
    </row>
    <row r="134" spans="1:8" ht="15.75">
      <c r="A134" s="252"/>
      <c r="B134" s="76" t="s">
        <v>184</v>
      </c>
      <c r="C134" s="131" t="s">
        <v>93</v>
      </c>
      <c r="D134" s="43">
        <v>2.33</v>
      </c>
      <c r="E134" s="43">
        <v>8.12</v>
      </c>
      <c r="F134" s="43">
        <v>15.55</v>
      </c>
      <c r="G134" s="16">
        <v>144.7</v>
      </c>
      <c r="H134" s="58" t="s">
        <v>66</v>
      </c>
    </row>
    <row r="135" spans="1:8" ht="15.75">
      <c r="A135" s="252"/>
      <c r="B135" s="39" t="s">
        <v>203</v>
      </c>
      <c r="C135" s="30">
        <v>200</v>
      </c>
      <c r="D135" s="50">
        <f>1.551*C135/200</f>
        <v>1.551</v>
      </c>
      <c r="E135" s="50">
        <f>1.58488*C135/200</f>
        <v>1.58488</v>
      </c>
      <c r="F135" s="50">
        <f>2.1749*C135/200</f>
        <v>2.1749</v>
      </c>
      <c r="G135" s="50">
        <f>29.16752*C135/200</f>
        <v>29.16752</v>
      </c>
      <c r="H135" s="31" t="s">
        <v>139</v>
      </c>
    </row>
    <row r="136" spans="1:8" ht="15.75">
      <c r="A136" s="264" t="s">
        <v>10</v>
      </c>
      <c r="B136" s="265"/>
      <c r="C136" s="42">
        <v>415</v>
      </c>
      <c r="D136" s="54">
        <f>D133+D134+D135</f>
        <v>8.93209</v>
      </c>
      <c r="E136" s="54">
        <f>E133+E134+E135</f>
        <v>12.778279999999999</v>
      </c>
      <c r="F136" s="54">
        <f>F133+F134+F135</f>
        <v>44.858006</v>
      </c>
      <c r="G136" s="54">
        <f>G133+G134+G135</f>
        <v>354.86752</v>
      </c>
      <c r="H136" s="132"/>
    </row>
    <row r="137" spans="1:8" ht="15.75">
      <c r="A137" s="42" t="s">
        <v>29</v>
      </c>
      <c r="B137" s="77" t="s">
        <v>41</v>
      </c>
      <c r="C137" s="41">
        <v>180</v>
      </c>
      <c r="D137" s="59">
        <f>0.75*C137/150</f>
        <v>0.9</v>
      </c>
      <c r="E137" s="59">
        <f>0.15*C137/150</f>
        <v>0.18</v>
      </c>
      <c r="F137" s="59">
        <f>15.15*C137/150</f>
        <v>18.18</v>
      </c>
      <c r="G137" s="59">
        <f>69*C137/150</f>
        <v>82.8</v>
      </c>
      <c r="H137" s="132" t="s">
        <v>54</v>
      </c>
    </row>
    <row r="138" spans="1:8" ht="15.75">
      <c r="A138" s="141" t="s">
        <v>124</v>
      </c>
      <c r="B138" s="76"/>
      <c r="C138" s="137">
        <v>180</v>
      </c>
      <c r="D138" s="49">
        <f>SUM(D137:D137)</f>
        <v>0.9</v>
      </c>
      <c r="E138" s="49">
        <f>SUM(E137:E137)</f>
        <v>0.18</v>
      </c>
      <c r="F138" s="49">
        <f>SUM(F137:F137)</f>
        <v>18.18</v>
      </c>
      <c r="G138" s="49">
        <f>SUM(G137:G137)</f>
        <v>82.8</v>
      </c>
      <c r="H138" s="132"/>
    </row>
    <row r="139" spans="1:8" ht="15.75">
      <c r="A139" s="252" t="s">
        <v>11</v>
      </c>
      <c r="B139" s="84" t="s">
        <v>159</v>
      </c>
      <c r="C139" s="24">
        <v>50</v>
      </c>
      <c r="D139" s="50">
        <f>0.406125*C139/30</f>
        <v>0.6768750000000001</v>
      </c>
      <c r="E139" s="50">
        <f>1.717098*C139/30</f>
        <v>2.86183</v>
      </c>
      <c r="F139" s="50">
        <f>2.28228*C139/30</f>
        <v>3.8038000000000003</v>
      </c>
      <c r="G139" s="50">
        <f>26.207502*C139/30</f>
        <v>43.67917</v>
      </c>
      <c r="H139" s="31" t="s">
        <v>160</v>
      </c>
    </row>
    <row r="140" spans="1:8" ht="51">
      <c r="A140" s="252"/>
      <c r="B140" s="39" t="s">
        <v>212</v>
      </c>
      <c r="C140" s="46" t="s">
        <v>89</v>
      </c>
      <c r="D140" s="48">
        <v>4.78</v>
      </c>
      <c r="E140" s="48">
        <v>7.71</v>
      </c>
      <c r="F140" s="48">
        <v>12.65</v>
      </c>
      <c r="G140" s="48">
        <v>134.13</v>
      </c>
      <c r="H140" s="58" t="s">
        <v>79</v>
      </c>
    </row>
    <row r="141" spans="1:8" ht="38.25">
      <c r="A141" s="252"/>
      <c r="B141" s="39" t="s">
        <v>213</v>
      </c>
      <c r="C141" s="58">
        <v>70</v>
      </c>
      <c r="D141" s="48">
        <v>9.23</v>
      </c>
      <c r="E141" s="48">
        <v>6.23</v>
      </c>
      <c r="F141" s="48">
        <v>6.62</v>
      </c>
      <c r="G141" s="48">
        <v>119.43</v>
      </c>
      <c r="H141" s="58" t="s">
        <v>75</v>
      </c>
    </row>
    <row r="142" spans="1:8" ht="25.5">
      <c r="A142" s="252"/>
      <c r="B142" s="39" t="s">
        <v>308</v>
      </c>
      <c r="C142" s="58">
        <v>130</v>
      </c>
      <c r="D142" s="48">
        <f>3.1683355*C142/110</f>
        <v>3.7443965</v>
      </c>
      <c r="E142" s="48">
        <f>2.9911552*C142/110</f>
        <v>3.5350016</v>
      </c>
      <c r="F142" s="48">
        <f>21.6758542*C142/110</f>
        <v>25.616918599999998</v>
      </c>
      <c r="G142" s="48">
        <f>126.3*C142/110</f>
        <v>149.26363636363635</v>
      </c>
      <c r="H142" s="132" t="s">
        <v>242</v>
      </c>
    </row>
    <row r="143" spans="1:8" ht="25.5">
      <c r="A143" s="252"/>
      <c r="B143" s="79" t="s">
        <v>206</v>
      </c>
      <c r="C143" s="46">
        <v>180</v>
      </c>
      <c r="D143" s="43">
        <f>0.41*C143/150</f>
        <v>0.492</v>
      </c>
      <c r="E143" s="43">
        <f>0.06*C143/150</f>
        <v>0.072</v>
      </c>
      <c r="F143" s="43">
        <f>17.01*C143/150</f>
        <v>20.412000000000003</v>
      </c>
      <c r="G143" s="43">
        <f>70.15*C143/150</f>
        <v>84.18</v>
      </c>
      <c r="H143" s="132" t="s">
        <v>60</v>
      </c>
    </row>
    <row r="144" spans="1:8" ht="15.75">
      <c r="A144" s="252"/>
      <c r="B144" s="76" t="s">
        <v>12</v>
      </c>
      <c r="C144" s="46">
        <v>30</v>
      </c>
      <c r="D144" s="43">
        <f>1.32*C144/20</f>
        <v>1.98</v>
      </c>
      <c r="E144" s="43">
        <f>0.22*C144/20</f>
        <v>0.32999999999999996</v>
      </c>
      <c r="F144" s="43">
        <f>8.2*C144/20</f>
        <v>12.299999999999999</v>
      </c>
      <c r="G144" s="48">
        <f>40*C144/20</f>
        <v>60</v>
      </c>
      <c r="H144" s="132" t="s">
        <v>59</v>
      </c>
    </row>
    <row r="145" spans="1:8" ht="15.75">
      <c r="A145" s="252"/>
      <c r="B145" s="76" t="s">
        <v>40</v>
      </c>
      <c r="C145" s="136">
        <v>30</v>
      </c>
      <c r="D145" s="43">
        <f>2.28*C145/30</f>
        <v>2.28</v>
      </c>
      <c r="E145" s="43">
        <f>0.24*C145/30</f>
        <v>0.23999999999999996</v>
      </c>
      <c r="F145" s="43">
        <f>14.76*C145/30</f>
        <v>14.76</v>
      </c>
      <c r="G145" s="43">
        <f>70.5*C145/30</f>
        <v>70.5</v>
      </c>
      <c r="H145" s="132" t="s">
        <v>58</v>
      </c>
    </row>
    <row r="146" spans="1:8" ht="15.75">
      <c r="A146" s="264" t="s">
        <v>13</v>
      </c>
      <c r="B146" s="265"/>
      <c r="C146" s="42">
        <v>710</v>
      </c>
      <c r="D146" s="54">
        <f>SUM(D139:D145)</f>
        <v>23.183271500000004</v>
      </c>
      <c r="E146" s="54">
        <f>SUM(E139:E145)</f>
        <v>20.9788316</v>
      </c>
      <c r="F146" s="54">
        <f>SUM(F139:F145)</f>
        <v>96.1627186</v>
      </c>
      <c r="G146" s="54">
        <f>SUM(G139:G145)</f>
        <v>661.1828063636364</v>
      </c>
      <c r="H146" s="132"/>
    </row>
    <row r="147" spans="1:8" ht="25.5">
      <c r="A147" s="251" t="s">
        <v>109</v>
      </c>
      <c r="B147" s="76" t="s">
        <v>243</v>
      </c>
      <c r="C147" s="58">
        <v>70</v>
      </c>
      <c r="D147" s="48">
        <f>6.13256*C147/50</f>
        <v>8.585584</v>
      </c>
      <c r="E147" s="48">
        <f>4.6948*C147/50</f>
        <v>6.5727199999999995</v>
      </c>
      <c r="F147" s="48">
        <f>7.10073*C147/50</f>
        <v>9.941022</v>
      </c>
      <c r="G147" s="48">
        <f>95*C147/50</f>
        <v>133</v>
      </c>
      <c r="H147" s="132" t="s">
        <v>244</v>
      </c>
    </row>
    <row r="148" spans="1:8" ht="51">
      <c r="A148" s="251"/>
      <c r="B148" s="76" t="s">
        <v>192</v>
      </c>
      <c r="C148" s="58">
        <v>130</v>
      </c>
      <c r="D148" s="48">
        <v>2.59</v>
      </c>
      <c r="E148" s="48">
        <v>5.22</v>
      </c>
      <c r="F148" s="48">
        <v>14.27</v>
      </c>
      <c r="G148" s="48">
        <v>114.4</v>
      </c>
      <c r="H148" s="58" t="s">
        <v>77</v>
      </c>
    </row>
    <row r="149" spans="1:8" ht="25.5">
      <c r="A149" s="251"/>
      <c r="B149" s="76" t="s">
        <v>189</v>
      </c>
      <c r="C149" s="46">
        <v>180</v>
      </c>
      <c r="D149" s="43">
        <f>0.48*C149/150</f>
        <v>0.576</v>
      </c>
      <c r="E149" s="43">
        <f>0.2*C149/150</f>
        <v>0.24</v>
      </c>
      <c r="F149" s="43">
        <f>12.95*C149/150</f>
        <v>15.54</v>
      </c>
      <c r="G149" s="43">
        <f>55.52*C149/150</f>
        <v>66.62400000000001</v>
      </c>
      <c r="H149" s="132" t="s">
        <v>70</v>
      </c>
    </row>
    <row r="150" spans="1:8" ht="15.75">
      <c r="A150" s="251"/>
      <c r="B150" s="76" t="s">
        <v>12</v>
      </c>
      <c r="C150" s="46">
        <v>30</v>
      </c>
      <c r="D150" s="43">
        <f>1.32*C150/20</f>
        <v>1.98</v>
      </c>
      <c r="E150" s="43">
        <f>0.22*C150/20</f>
        <v>0.32999999999999996</v>
      </c>
      <c r="F150" s="43">
        <f>8.2*C150/20</f>
        <v>12.299999999999999</v>
      </c>
      <c r="G150" s="48">
        <f>40*C150/20</f>
        <v>60</v>
      </c>
      <c r="H150" s="132" t="s">
        <v>59</v>
      </c>
    </row>
    <row r="151" spans="1:8" ht="15.75">
      <c r="A151" s="251"/>
      <c r="B151" s="77" t="s">
        <v>163</v>
      </c>
      <c r="C151" s="30">
        <v>30</v>
      </c>
      <c r="D151" s="36">
        <f>2*30/50</f>
        <v>1.2</v>
      </c>
      <c r="E151" s="36">
        <f>13*30/50</f>
        <v>7.8</v>
      </c>
      <c r="F151" s="36">
        <f>32.5*30/50</f>
        <v>19.5</v>
      </c>
      <c r="G151" s="36">
        <f>127.5*30/25</f>
        <v>153</v>
      </c>
      <c r="H151" s="132" t="s">
        <v>117</v>
      </c>
    </row>
    <row r="152" spans="1:8" ht="15.75">
      <c r="A152" s="268" t="s">
        <v>110</v>
      </c>
      <c r="B152" s="269"/>
      <c r="C152" s="42">
        <v>440</v>
      </c>
      <c r="D152" s="54">
        <f>SUM(D147:D151)</f>
        <v>14.931584</v>
      </c>
      <c r="E152" s="54">
        <f>SUM(E147:E151)</f>
        <v>20.16272</v>
      </c>
      <c r="F152" s="54">
        <f>SUM(F147:F151)</f>
        <v>71.55102199999999</v>
      </c>
      <c r="G152" s="54">
        <f>SUM(G147:G151)</f>
        <v>527.024</v>
      </c>
      <c r="H152" s="132"/>
    </row>
    <row r="153" spans="1:8" ht="15.75">
      <c r="A153" s="157" t="s">
        <v>22</v>
      </c>
      <c r="B153" s="88"/>
      <c r="C153" s="147"/>
      <c r="D153" s="57">
        <f>D136+D138+D146+D152</f>
        <v>47.946945500000005</v>
      </c>
      <c r="E153" s="57">
        <f>E136+E138+E146+E152</f>
        <v>54.099831599999995</v>
      </c>
      <c r="F153" s="57">
        <f>F136+F138+F146+F152</f>
        <v>230.7517466</v>
      </c>
      <c r="G153" s="57">
        <f>G136+G138+G146+G152</f>
        <v>1625.8743263636366</v>
      </c>
      <c r="H153" s="142"/>
    </row>
    <row r="154" spans="1:8" ht="15.75">
      <c r="A154" s="261" t="s">
        <v>23</v>
      </c>
      <c r="B154" s="262"/>
      <c r="C154" s="262"/>
      <c r="D154" s="262"/>
      <c r="E154" s="262"/>
      <c r="F154" s="262"/>
      <c r="G154" s="262"/>
      <c r="H154" s="263"/>
    </row>
    <row r="155" spans="1:8" ht="25.5">
      <c r="A155" s="252" t="s">
        <v>9</v>
      </c>
      <c r="B155" s="39" t="s">
        <v>295</v>
      </c>
      <c r="C155" s="46">
        <v>150</v>
      </c>
      <c r="D155" s="43">
        <f>5.26635*C155/150</f>
        <v>5.26635</v>
      </c>
      <c r="E155" s="43">
        <f>2.3694*C155/150</f>
        <v>2.3694</v>
      </c>
      <c r="F155" s="43">
        <f>25.139205*C155/150</f>
        <v>25.139205</v>
      </c>
      <c r="G155" s="43">
        <f>127.61*C155/135</f>
        <v>141.7888888888889</v>
      </c>
      <c r="H155" s="189" t="s">
        <v>83</v>
      </c>
    </row>
    <row r="156" spans="1:8" ht="25.5">
      <c r="A156" s="252"/>
      <c r="B156" s="39" t="s">
        <v>198</v>
      </c>
      <c r="C156" s="140" t="s">
        <v>176</v>
      </c>
      <c r="D156" s="48">
        <v>6.52</v>
      </c>
      <c r="E156" s="48">
        <v>9.25</v>
      </c>
      <c r="F156" s="48">
        <v>21.965</v>
      </c>
      <c r="G156" s="48">
        <v>198.6</v>
      </c>
      <c r="H156" s="135" t="s">
        <v>51</v>
      </c>
    </row>
    <row r="157" spans="1:8" ht="15.75">
      <c r="A157" s="252"/>
      <c r="B157" s="81" t="s">
        <v>202</v>
      </c>
      <c r="C157" s="140" t="s">
        <v>87</v>
      </c>
      <c r="D157" s="16">
        <f>0.0376*C157/180</f>
        <v>0.04177777777777778</v>
      </c>
      <c r="E157" s="16">
        <f>0.008976*C157/180</f>
        <v>0.009973333333333332</v>
      </c>
      <c r="F157" s="16">
        <f>6.81863*C157/180</f>
        <v>7.576255555555555</v>
      </c>
      <c r="G157" s="48">
        <f>29.34*C157/180</f>
        <v>32.6</v>
      </c>
      <c r="H157" s="132" t="s">
        <v>53</v>
      </c>
    </row>
    <row r="158" spans="1:8" ht="15.75">
      <c r="A158" s="264" t="s">
        <v>10</v>
      </c>
      <c r="B158" s="265"/>
      <c r="C158" s="42">
        <v>400</v>
      </c>
      <c r="D158" s="54">
        <f>SUM(D155:D157)</f>
        <v>11.828127777777777</v>
      </c>
      <c r="E158" s="54">
        <f>SUM(E155:E157)</f>
        <v>11.629373333333334</v>
      </c>
      <c r="F158" s="54">
        <f>SUM(F155:F157)</f>
        <v>54.680460555555555</v>
      </c>
      <c r="G158" s="54">
        <f>SUM(G155:G157)</f>
        <v>372.98888888888894</v>
      </c>
      <c r="H158" s="132"/>
    </row>
    <row r="159" spans="1:8" ht="15.75">
      <c r="A159" s="42" t="s">
        <v>38</v>
      </c>
      <c r="B159" s="77" t="s">
        <v>293</v>
      </c>
      <c r="C159" s="41">
        <v>100</v>
      </c>
      <c r="D159" s="59">
        <v>0.8</v>
      </c>
      <c r="E159" s="59">
        <v>0.3</v>
      </c>
      <c r="F159" s="59">
        <v>9.6</v>
      </c>
      <c r="G159" s="59">
        <v>42</v>
      </c>
      <c r="H159" s="146" t="s">
        <v>64</v>
      </c>
    </row>
    <row r="160" spans="1:8" ht="15.75">
      <c r="A160" s="252" t="s">
        <v>11</v>
      </c>
      <c r="B160" s="79" t="s">
        <v>276</v>
      </c>
      <c r="C160" s="24">
        <v>50</v>
      </c>
      <c r="D160" s="50">
        <f>0.57*C160/30</f>
        <v>0.9499999999999998</v>
      </c>
      <c r="E160" s="50">
        <f>2.67*C160/30</f>
        <v>4.45</v>
      </c>
      <c r="F160" s="50">
        <f>2.31*C160/30</f>
        <v>3.85</v>
      </c>
      <c r="G160" s="50">
        <f>35.7*C160/30</f>
        <v>59.50000000000001</v>
      </c>
      <c r="H160" s="132" t="s">
        <v>252</v>
      </c>
    </row>
    <row r="161" spans="1:8" ht="38.25">
      <c r="A161" s="252"/>
      <c r="B161" s="79" t="s">
        <v>214</v>
      </c>
      <c r="C161" s="58" t="s">
        <v>91</v>
      </c>
      <c r="D161" s="48">
        <v>5.488378</v>
      </c>
      <c r="E161" s="48">
        <v>2.261336</v>
      </c>
      <c r="F161" s="48">
        <v>12.965679999999999</v>
      </c>
      <c r="G161" s="48">
        <v>94.17</v>
      </c>
      <c r="H161" s="186" t="s">
        <v>249</v>
      </c>
    </row>
    <row r="162" spans="1:8" ht="25.5">
      <c r="A162" s="252"/>
      <c r="B162" s="39" t="s">
        <v>181</v>
      </c>
      <c r="C162" s="30">
        <v>180</v>
      </c>
      <c r="D162" s="25">
        <f>13.86*C162/180</f>
        <v>13.859999999999998</v>
      </c>
      <c r="E162" s="25">
        <f>13.72*C162/180</f>
        <v>13.719999999999999</v>
      </c>
      <c r="F162" s="25">
        <f>36.01*C162/180</f>
        <v>36.01</v>
      </c>
      <c r="G162" s="25">
        <f>323.02*C162/180</f>
        <v>323.02</v>
      </c>
      <c r="H162" s="37" t="s">
        <v>165</v>
      </c>
    </row>
    <row r="163" spans="1:8" ht="25.5">
      <c r="A163" s="252"/>
      <c r="B163" s="79" t="s">
        <v>195</v>
      </c>
      <c r="C163" s="46">
        <v>180</v>
      </c>
      <c r="D163" s="43">
        <f>0.11*C163/150</f>
        <v>0.132</v>
      </c>
      <c r="E163" s="43">
        <f>0.11*C163/150</f>
        <v>0.132</v>
      </c>
      <c r="F163" s="43">
        <f>11.75*C163/150</f>
        <v>14.1</v>
      </c>
      <c r="G163" s="43">
        <f>48.5*C163/150</f>
        <v>58.2</v>
      </c>
      <c r="H163" s="132" t="s">
        <v>72</v>
      </c>
    </row>
    <row r="164" spans="1:8" ht="15.75">
      <c r="A164" s="252"/>
      <c r="B164" s="76" t="s">
        <v>12</v>
      </c>
      <c r="C164" s="46">
        <v>20</v>
      </c>
      <c r="D164" s="43">
        <f>1.32*C164/20</f>
        <v>1.32</v>
      </c>
      <c r="E164" s="43">
        <f>0.22*C164/20</f>
        <v>0.22000000000000003</v>
      </c>
      <c r="F164" s="43">
        <f>8.2*C164/20</f>
        <v>8.2</v>
      </c>
      <c r="G164" s="48">
        <f>40*C164/20</f>
        <v>40</v>
      </c>
      <c r="H164" s="132" t="s">
        <v>59</v>
      </c>
    </row>
    <row r="165" spans="1:8" ht="15.75">
      <c r="A165" s="252"/>
      <c r="B165" s="76" t="s">
        <v>40</v>
      </c>
      <c r="C165" s="136">
        <v>30</v>
      </c>
      <c r="D165" s="43">
        <f>2.28*C165/30</f>
        <v>2.28</v>
      </c>
      <c r="E165" s="43">
        <f>0.24*C165/30</f>
        <v>0.23999999999999996</v>
      </c>
      <c r="F165" s="43">
        <f>14.76*C165/30</f>
        <v>14.76</v>
      </c>
      <c r="G165" s="43">
        <f>70.5*C165/30</f>
        <v>70.5</v>
      </c>
      <c r="H165" s="132" t="s">
        <v>58</v>
      </c>
    </row>
    <row r="166" spans="1:8" ht="15.75">
      <c r="A166" s="264" t="s">
        <v>13</v>
      </c>
      <c r="B166" s="265"/>
      <c r="C166" s="42">
        <v>680</v>
      </c>
      <c r="D166" s="54">
        <f>SUM(D160:D165)</f>
        <v>24.030378000000002</v>
      </c>
      <c r="E166" s="54">
        <f>SUM(E160:E165)</f>
        <v>21.023335999999997</v>
      </c>
      <c r="F166" s="54">
        <f>SUM(F160:F165)</f>
        <v>89.88568000000001</v>
      </c>
      <c r="G166" s="54">
        <f>SUM(G160:G165)</f>
        <v>645.39</v>
      </c>
      <c r="H166" s="132"/>
    </row>
    <row r="167" spans="1:8" ht="38.25">
      <c r="A167" s="251" t="s">
        <v>109</v>
      </c>
      <c r="B167" s="102" t="s">
        <v>265</v>
      </c>
      <c r="C167" s="58" t="s">
        <v>137</v>
      </c>
      <c r="D167" s="48">
        <v>19.59218</v>
      </c>
      <c r="E167" s="48">
        <v>8.916239999999998</v>
      </c>
      <c r="F167" s="48">
        <v>42.11626</v>
      </c>
      <c r="G167" s="48">
        <v>323</v>
      </c>
      <c r="H167" s="132" t="s">
        <v>121</v>
      </c>
    </row>
    <row r="168" spans="1:8" ht="15.75">
      <c r="A168" s="251"/>
      <c r="B168" s="79" t="s">
        <v>131</v>
      </c>
      <c r="C168" s="46">
        <v>200</v>
      </c>
      <c r="D168" s="43">
        <f>4.35*C168/150</f>
        <v>5.799999999999999</v>
      </c>
      <c r="E168" s="43">
        <f>4.8*C168/150</f>
        <v>6.4</v>
      </c>
      <c r="F168" s="43">
        <f>7.05*C168/150</f>
        <v>9.4</v>
      </c>
      <c r="G168" s="48">
        <f>90*C168/150</f>
        <v>120</v>
      </c>
      <c r="H168" s="132" t="s">
        <v>61</v>
      </c>
    </row>
    <row r="169" spans="1:8" ht="15.75">
      <c r="A169" s="251"/>
      <c r="B169" s="86" t="s">
        <v>178</v>
      </c>
      <c r="C169" s="30">
        <v>22</v>
      </c>
      <c r="D169" s="36">
        <f>0.8*C169/11</f>
        <v>1.6</v>
      </c>
      <c r="E169" s="36">
        <f>2.1*C169/11</f>
        <v>4.2</v>
      </c>
      <c r="F169" s="36">
        <f>7.5*C169/11</f>
        <v>15</v>
      </c>
      <c r="G169" s="36">
        <f>52*C169/11</f>
        <v>104</v>
      </c>
      <c r="H169" s="37" t="s">
        <v>117</v>
      </c>
    </row>
    <row r="170" spans="1:8" ht="15.75">
      <c r="A170" s="264" t="s">
        <v>110</v>
      </c>
      <c r="B170" s="265"/>
      <c r="C170" s="42">
        <v>330</v>
      </c>
      <c r="D170" s="54">
        <f>SUM(D167:D169)</f>
        <v>26.992179999999998</v>
      </c>
      <c r="E170" s="54">
        <f>SUM(E167:E169)</f>
        <v>19.51624</v>
      </c>
      <c r="F170" s="54">
        <f>SUM(F167:F169)</f>
        <v>66.51625999999999</v>
      </c>
      <c r="G170" s="54">
        <f>SUM(G167:G169)</f>
        <v>547</v>
      </c>
      <c r="H170" s="132"/>
    </row>
    <row r="171" spans="1:8" ht="15.75">
      <c r="A171" s="274" t="s">
        <v>24</v>
      </c>
      <c r="B171" s="275"/>
      <c r="C171" s="57">
        <f>C158+C159+C166+C170</f>
        <v>1510</v>
      </c>
      <c r="D171" s="57">
        <f>D158+D159+D166+D170</f>
        <v>63.650685777777774</v>
      </c>
      <c r="E171" s="57">
        <f>E158+E159+E166+E170</f>
        <v>52.46894933333333</v>
      </c>
      <c r="F171" s="57">
        <f>F158+F159+F166+F170</f>
        <v>220.68240055555555</v>
      </c>
      <c r="G171" s="57">
        <f>G158+G159+G166+G170</f>
        <v>1607.378888888889</v>
      </c>
      <c r="H171" s="158"/>
    </row>
    <row r="172" spans="1:8" ht="15.75">
      <c r="A172" s="261" t="s">
        <v>25</v>
      </c>
      <c r="B172" s="262"/>
      <c r="C172" s="262"/>
      <c r="D172" s="262"/>
      <c r="E172" s="262"/>
      <c r="F172" s="262"/>
      <c r="G172" s="262"/>
      <c r="H172" s="263"/>
    </row>
    <row r="173" spans="1:8" ht="25.5">
      <c r="A173" s="252" t="s">
        <v>9</v>
      </c>
      <c r="B173" s="39" t="s">
        <v>257</v>
      </c>
      <c r="C173" s="46">
        <v>160</v>
      </c>
      <c r="D173" s="43">
        <f>3.57*C173/130</f>
        <v>4.3938461538461535</v>
      </c>
      <c r="E173" s="43">
        <f>2.95*C173/130</f>
        <v>3.6307692307692307</v>
      </c>
      <c r="F173" s="43">
        <f>11.49*C173/130</f>
        <v>14.141538461538461</v>
      </c>
      <c r="G173" s="43">
        <f>83.77*C173/130</f>
        <v>103.10153846153845</v>
      </c>
      <c r="H173" s="135" t="s">
        <v>65</v>
      </c>
    </row>
    <row r="174" spans="1:8" ht="25.5">
      <c r="A174" s="252"/>
      <c r="B174" s="39" t="s">
        <v>198</v>
      </c>
      <c r="C174" s="140" t="s">
        <v>176</v>
      </c>
      <c r="D174" s="48">
        <v>6.52</v>
      </c>
      <c r="E174" s="48">
        <v>9.25</v>
      </c>
      <c r="F174" s="48">
        <v>21.965</v>
      </c>
      <c r="G174" s="48">
        <v>198.6</v>
      </c>
      <c r="H174" s="135" t="s">
        <v>51</v>
      </c>
    </row>
    <row r="175" spans="1:8" ht="25.5">
      <c r="A175" s="252"/>
      <c r="B175" s="76" t="s">
        <v>185</v>
      </c>
      <c r="C175" s="44" t="s">
        <v>87</v>
      </c>
      <c r="D175" s="50">
        <f>1.62432*C175/150</f>
        <v>2.1657599999999997</v>
      </c>
      <c r="E175" s="50">
        <f>1.66144*C175/150</f>
        <v>2.2152533333333335</v>
      </c>
      <c r="F175" s="50">
        <f>9.03266*C175/150</f>
        <v>12.043546666666666</v>
      </c>
      <c r="G175" s="50">
        <f>57.58088*C175/150</f>
        <v>76.77450666666667</v>
      </c>
      <c r="H175" s="31" t="s">
        <v>129</v>
      </c>
    </row>
    <row r="176" spans="1:8" ht="15.75">
      <c r="A176" s="264" t="s">
        <v>10</v>
      </c>
      <c r="B176" s="265"/>
      <c r="C176" s="42">
        <v>410</v>
      </c>
      <c r="D176" s="54">
        <f>SUM(D173:D175)</f>
        <v>13.079606153846154</v>
      </c>
      <c r="E176" s="54">
        <f>SUM(E173:E175)</f>
        <v>15.096022564102563</v>
      </c>
      <c r="F176" s="54">
        <f>SUM(F173:F175)</f>
        <v>48.15008512820513</v>
      </c>
      <c r="G176" s="54">
        <f>SUM(G173:G175)</f>
        <v>378.4760451282051</v>
      </c>
      <c r="H176" s="132"/>
    </row>
    <row r="177" spans="1:8" ht="15.75">
      <c r="A177" s="141" t="s">
        <v>28</v>
      </c>
      <c r="B177" s="77" t="s">
        <v>296</v>
      </c>
      <c r="C177" s="41">
        <v>100</v>
      </c>
      <c r="D177" s="59">
        <v>0.4</v>
      </c>
      <c r="E177" s="59">
        <v>0.3</v>
      </c>
      <c r="F177" s="59">
        <v>10.3</v>
      </c>
      <c r="G177" s="59">
        <v>47</v>
      </c>
      <c r="H177" s="146" t="s">
        <v>64</v>
      </c>
    </row>
    <row r="178" spans="1:8" ht="15.75">
      <c r="A178" s="252" t="s">
        <v>11</v>
      </c>
      <c r="B178" s="152" t="s">
        <v>157</v>
      </c>
      <c r="C178" s="58">
        <v>50</v>
      </c>
      <c r="D178" s="48">
        <f>0.48*C178/30</f>
        <v>0.8</v>
      </c>
      <c r="E178" s="48">
        <f>0.12*C178/30</f>
        <v>0.2</v>
      </c>
      <c r="F178" s="48">
        <f>4.29*C178/30</f>
        <v>7.15</v>
      </c>
      <c r="G178" s="48">
        <f>20.7*C178/30</f>
        <v>34.5</v>
      </c>
      <c r="H178" s="132" t="s">
        <v>251</v>
      </c>
    </row>
    <row r="179" spans="1:8" ht="38.25">
      <c r="A179" s="252"/>
      <c r="B179" s="39" t="s">
        <v>167</v>
      </c>
      <c r="C179" s="46" t="s">
        <v>179</v>
      </c>
      <c r="D179" s="52">
        <v>3.9871</v>
      </c>
      <c r="E179" s="52">
        <v>4.93112</v>
      </c>
      <c r="F179" s="52">
        <v>8.663749999999999</v>
      </c>
      <c r="G179" s="52">
        <v>95.2</v>
      </c>
      <c r="H179" s="132" t="s">
        <v>248</v>
      </c>
    </row>
    <row r="180" spans="1:8" ht="25.5">
      <c r="A180" s="252"/>
      <c r="B180" s="39" t="s">
        <v>245</v>
      </c>
      <c r="C180" s="24">
        <v>70</v>
      </c>
      <c r="D180" s="50">
        <f>6.55493333333333*C180/50</f>
        <v>9.176906666666662</v>
      </c>
      <c r="E180" s="50">
        <f>8.9628*C180/50</f>
        <v>12.54792</v>
      </c>
      <c r="F180" s="50">
        <f>6.37*C180/50</f>
        <v>8.918000000000001</v>
      </c>
      <c r="G180" s="50">
        <f>132*C180/50</f>
        <v>184.8</v>
      </c>
      <c r="H180" s="132" t="s">
        <v>246</v>
      </c>
    </row>
    <row r="181" spans="1:8" ht="25.5">
      <c r="A181" s="252"/>
      <c r="B181" s="39" t="s">
        <v>205</v>
      </c>
      <c r="C181" s="58">
        <v>130</v>
      </c>
      <c r="D181" s="48">
        <f>2.45*C181/120</f>
        <v>2.654166666666667</v>
      </c>
      <c r="E181" s="48">
        <f>3.43*C181/120</f>
        <v>3.7158333333333338</v>
      </c>
      <c r="F181" s="48">
        <f>16.05*C181/120</f>
        <v>17.3875</v>
      </c>
      <c r="G181" s="48">
        <v>95</v>
      </c>
      <c r="H181" s="132" t="s">
        <v>57</v>
      </c>
    </row>
    <row r="182" spans="1:8" ht="25.5">
      <c r="A182" s="252"/>
      <c r="B182" s="79" t="s">
        <v>206</v>
      </c>
      <c r="C182" s="46">
        <v>180</v>
      </c>
      <c r="D182" s="43">
        <f>0.41*C182/150</f>
        <v>0.492</v>
      </c>
      <c r="E182" s="43">
        <f>0.06*C182/150</f>
        <v>0.072</v>
      </c>
      <c r="F182" s="43">
        <f>17.01*C182/150</f>
        <v>20.412000000000003</v>
      </c>
      <c r="G182" s="43">
        <f>70.15*C182/150</f>
        <v>84.18</v>
      </c>
      <c r="H182" s="132" t="s">
        <v>60</v>
      </c>
    </row>
    <row r="183" spans="1:8" ht="15.75">
      <c r="A183" s="252"/>
      <c r="B183" s="76" t="s">
        <v>12</v>
      </c>
      <c r="C183" s="46">
        <v>30</v>
      </c>
      <c r="D183" s="43">
        <f>1.32*C183/20</f>
        <v>1.98</v>
      </c>
      <c r="E183" s="43">
        <f>0.22*C183/20</f>
        <v>0.32999999999999996</v>
      </c>
      <c r="F183" s="43">
        <f>8.2*C183/20</f>
        <v>12.299999999999999</v>
      </c>
      <c r="G183" s="48">
        <f>40*C183/20</f>
        <v>60</v>
      </c>
      <c r="H183" s="132" t="s">
        <v>59</v>
      </c>
    </row>
    <row r="184" spans="1:8" ht="15.75">
      <c r="A184" s="252"/>
      <c r="B184" s="76" t="s">
        <v>40</v>
      </c>
      <c r="C184" s="136">
        <v>40</v>
      </c>
      <c r="D184" s="43">
        <f>2.28*C184/30</f>
        <v>3.0399999999999996</v>
      </c>
      <c r="E184" s="43">
        <f>0.24*C184/30</f>
        <v>0.32</v>
      </c>
      <c r="F184" s="43">
        <f>14.76*C184/30</f>
        <v>19.68</v>
      </c>
      <c r="G184" s="43">
        <f>70.5*C184/30</f>
        <v>94</v>
      </c>
      <c r="H184" s="132" t="s">
        <v>58</v>
      </c>
    </row>
    <row r="185" spans="1:8" ht="15.75">
      <c r="A185" s="264" t="s">
        <v>13</v>
      </c>
      <c r="B185" s="265"/>
      <c r="C185" s="42">
        <v>730</v>
      </c>
      <c r="D185" s="54">
        <f>SUM(D178:D184)</f>
        <v>22.13017333333333</v>
      </c>
      <c r="E185" s="54">
        <f>SUM(E178:E184)</f>
        <v>22.11687333333333</v>
      </c>
      <c r="F185" s="54">
        <f>SUM(F178:F184)</f>
        <v>94.51124999999999</v>
      </c>
      <c r="G185" s="54">
        <f>SUM(G178:G184)</f>
        <v>647.6800000000001</v>
      </c>
      <c r="H185" s="132"/>
    </row>
    <row r="186" spans="1:8" ht="38.25">
      <c r="A186" s="251" t="s">
        <v>109</v>
      </c>
      <c r="B186" s="111" t="s">
        <v>263</v>
      </c>
      <c r="C186" s="62" t="s">
        <v>87</v>
      </c>
      <c r="D186" s="25">
        <f>17.357194*C186/130</f>
        <v>26.703375384615384</v>
      </c>
      <c r="E186" s="25">
        <f>17.79888*C186/130</f>
        <v>27.38289230769231</v>
      </c>
      <c r="F186" s="25">
        <f>10.713248*C186/130</f>
        <v>16.481920000000002</v>
      </c>
      <c r="G186" s="25">
        <f>272.471688*C186/130</f>
        <v>419.1872123076922</v>
      </c>
      <c r="H186" s="31" t="s">
        <v>168</v>
      </c>
    </row>
    <row r="187" spans="1:8" ht="15.75">
      <c r="A187" s="251"/>
      <c r="B187" s="76" t="s">
        <v>12</v>
      </c>
      <c r="C187" s="46">
        <v>20</v>
      </c>
      <c r="D187" s="43">
        <f>1.32*C187/20</f>
        <v>1.32</v>
      </c>
      <c r="E187" s="43">
        <f>0.22*C187/20</f>
        <v>0.22000000000000003</v>
      </c>
      <c r="F187" s="43">
        <f>8.2*C187/20</f>
        <v>8.2</v>
      </c>
      <c r="G187" s="48">
        <f>40*C187/20</f>
        <v>40</v>
      </c>
      <c r="H187" s="132" t="s">
        <v>59</v>
      </c>
    </row>
    <row r="188" spans="1:8" ht="15.75">
      <c r="A188" s="251"/>
      <c r="B188" s="76" t="s">
        <v>40</v>
      </c>
      <c r="C188" s="136">
        <v>20</v>
      </c>
      <c r="D188" s="43">
        <f>2.28*C188/30</f>
        <v>1.5199999999999998</v>
      </c>
      <c r="E188" s="43">
        <f>0.24*C188/30</f>
        <v>0.16</v>
      </c>
      <c r="F188" s="43">
        <f>14.76*C188/30</f>
        <v>9.84</v>
      </c>
      <c r="G188" s="43">
        <f>70.5*C188/30</f>
        <v>47</v>
      </c>
      <c r="H188" s="132" t="s">
        <v>58</v>
      </c>
    </row>
    <row r="189" spans="1:8" ht="15.75">
      <c r="A189" s="251"/>
      <c r="B189" s="77" t="s">
        <v>202</v>
      </c>
      <c r="C189" s="140" t="s">
        <v>47</v>
      </c>
      <c r="D189" s="16">
        <f>0.0376*C189/180</f>
        <v>0.0376</v>
      </c>
      <c r="E189" s="16">
        <f>0.008976*C189/180</f>
        <v>0.008976</v>
      </c>
      <c r="F189" s="16">
        <f>6.81863*C189/180</f>
        <v>6.81863</v>
      </c>
      <c r="G189" s="48">
        <f>29.34*C189/180</f>
        <v>29.34</v>
      </c>
      <c r="H189" s="132" t="s">
        <v>53</v>
      </c>
    </row>
    <row r="190" spans="1:8" ht="15.75">
      <c r="A190" s="264" t="s">
        <v>110</v>
      </c>
      <c r="B190" s="265"/>
      <c r="C190" s="42">
        <v>420</v>
      </c>
      <c r="D190" s="54">
        <f>SUM(D186:D189)</f>
        <v>29.580975384615385</v>
      </c>
      <c r="E190" s="54">
        <f>SUM(E186:E189)</f>
        <v>27.77186830769231</v>
      </c>
      <c r="F190" s="54">
        <f>SUM(F186:F189)</f>
        <v>41.34055</v>
      </c>
      <c r="G190" s="54">
        <f>SUM(G186:G189)</f>
        <v>535.5272123076923</v>
      </c>
      <c r="H190" s="132"/>
    </row>
    <row r="191" spans="1:8" ht="15.75">
      <c r="A191" s="266" t="s">
        <v>26</v>
      </c>
      <c r="B191" s="267"/>
      <c r="C191" s="57">
        <f>C176+C177+C185+C190</f>
        <v>1660</v>
      </c>
      <c r="D191" s="57">
        <f>D176+D177+D185+D190</f>
        <v>65.19075487179487</v>
      </c>
      <c r="E191" s="57">
        <f>E176+E177+E185+E190</f>
        <v>65.2847642051282</v>
      </c>
      <c r="F191" s="57">
        <f>F176+F177+F185+F190</f>
        <v>194.30188512820513</v>
      </c>
      <c r="G191" s="57">
        <f>G176+G177+G185+G190</f>
        <v>1608.6832574358975</v>
      </c>
      <c r="H191" s="142"/>
    </row>
    <row r="192" spans="1:8" ht="15.75">
      <c r="A192" s="261" t="s">
        <v>36</v>
      </c>
      <c r="B192" s="262"/>
      <c r="C192" s="262"/>
      <c r="D192" s="262"/>
      <c r="E192" s="262"/>
      <c r="F192" s="262"/>
      <c r="G192" s="262"/>
      <c r="H192" s="263"/>
    </row>
    <row r="193" spans="1:8" ht="25.5">
      <c r="A193" s="252" t="s">
        <v>9</v>
      </c>
      <c r="B193" s="39" t="s">
        <v>169</v>
      </c>
      <c r="C193" s="24">
        <v>160</v>
      </c>
      <c r="D193" s="50">
        <f>5.6212*C193/130</f>
        <v>6.9184</v>
      </c>
      <c r="E193" s="50">
        <f>2.3738*C193/130</f>
        <v>2.9215999999999998</v>
      </c>
      <c r="F193" s="50">
        <f>23.209277*C193/130</f>
        <v>28.565264</v>
      </c>
      <c r="G193" s="201">
        <f>103.686108*C193/130</f>
        <v>127.6136713846154</v>
      </c>
      <c r="H193" s="191" t="s">
        <v>271</v>
      </c>
    </row>
    <row r="194" spans="1:8" ht="15.75">
      <c r="A194" s="252"/>
      <c r="B194" s="76" t="s">
        <v>184</v>
      </c>
      <c r="C194" s="131" t="s">
        <v>93</v>
      </c>
      <c r="D194" s="43">
        <v>2.33</v>
      </c>
      <c r="E194" s="43">
        <v>8.12</v>
      </c>
      <c r="F194" s="43">
        <v>15.55</v>
      </c>
      <c r="G194" s="16">
        <v>144.7</v>
      </c>
      <c r="H194" s="58" t="s">
        <v>66</v>
      </c>
    </row>
    <row r="195" spans="1:8" ht="25.5">
      <c r="A195" s="252"/>
      <c r="B195" s="39" t="s">
        <v>199</v>
      </c>
      <c r="C195" s="46">
        <v>200</v>
      </c>
      <c r="D195" s="48">
        <f>2.46*C195/180</f>
        <v>2.7333333333333334</v>
      </c>
      <c r="E195" s="48">
        <f>1.86*C195/180</f>
        <v>2.066666666666667</v>
      </c>
      <c r="F195" s="48">
        <f>11.94*C195/180</f>
        <v>13.266666666666667</v>
      </c>
      <c r="G195" s="48">
        <f>64*C195/180</f>
        <v>71.11111111111111</v>
      </c>
      <c r="H195" s="135" t="s">
        <v>78</v>
      </c>
    </row>
    <row r="196" spans="1:8" ht="15.75">
      <c r="A196" s="268" t="s">
        <v>10</v>
      </c>
      <c r="B196" s="269"/>
      <c r="C196" s="42">
        <v>410</v>
      </c>
      <c r="D196" s="54">
        <f>SUM(D193:D195)</f>
        <v>11.981733333333334</v>
      </c>
      <c r="E196" s="54">
        <f>SUM(E193:E195)</f>
        <v>13.108266666666665</v>
      </c>
      <c r="F196" s="54">
        <f>SUM(F193:F195)</f>
        <v>57.38193066666666</v>
      </c>
      <c r="G196" s="54">
        <f>SUM(G193:G195)</f>
        <v>343.4247824957265</v>
      </c>
      <c r="H196" s="132"/>
    </row>
    <row r="197" spans="1:8" ht="15.75">
      <c r="A197" s="141" t="s">
        <v>38</v>
      </c>
      <c r="B197" s="77" t="s">
        <v>43</v>
      </c>
      <c r="C197" s="42">
        <v>180</v>
      </c>
      <c r="D197" s="54">
        <f>4.35*C197/150</f>
        <v>5.219999999999999</v>
      </c>
      <c r="E197" s="54">
        <f>3.75*C197/150</f>
        <v>4.5</v>
      </c>
      <c r="F197" s="54">
        <f>6*C197/150</f>
        <v>7.2</v>
      </c>
      <c r="G197" s="54">
        <f>79.5*C197/150</f>
        <v>95.4</v>
      </c>
      <c r="H197" s="132" t="s">
        <v>61</v>
      </c>
    </row>
    <row r="198" spans="1:8" ht="15.75">
      <c r="A198" s="252" t="s">
        <v>11</v>
      </c>
      <c r="B198" s="77" t="s">
        <v>278</v>
      </c>
      <c r="C198" s="136">
        <v>50</v>
      </c>
      <c r="D198" s="16">
        <v>0.55</v>
      </c>
      <c r="E198" s="16">
        <v>0.1</v>
      </c>
      <c r="F198" s="16">
        <v>1.9</v>
      </c>
      <c r="G198" s="63">
        <v>12</v>
      </c>
      <c r="H198" s="58" t="s">
        <v>55</v>
      </c>
    </row>
    <row r="199" spans="1:8" ht="38.25">
      <c r="A199" s="252"/>
      <c r="B199" s="79" t="s">
        <v>215</v>
      </c>
      <c r="C199" s="58" t="s">
        <v>90</v>
      </c>
      <c r="D199" s="48">
        <v>6.389368</v>
      </c>
      <c r="E199" s="48">
        <v>6.163872</v>
      </c>
      <c r="F199" s="48">
        <v>14.365260000000001</v>
      </c>
      <c r="G199" s="48">
        <v>138</v>
      </c>
      <c r="H199" s="132" t="s">
        <v>79</v>
      </c>
    </row>
    <row r="200" spans="1:8" ht="31.5">
      <c r="A200" s="252"/>
      <c r="B200" s="39" t="s">
        <v>297</v>
      </c>
      <c r="C200" s="30">
        <v>80</v>
      </c>
      <c r="D200" s="36">
        <f>8.6098548*C200/60</f>
        <v>11.479806400000001</v>
      </c>
      <c r="E200" s="36">
        <f>8.4408192*C200/60</f>
        <v>11.2544256</v>
      </c>
      <c r="F200" s="36">
        <f>1.8204732*C200/60</f>
        <v>2.4272976</v>
      </c>
      <c r="G200" s="36">
        <f>117.6886848*C200/60</f>
        <v>156.91824640000002</v>
      </c>
      <c r="H200" s="139" t="s">
        <v>170</v>
      </c>
    </row>
    <row r="201" spans="1:8" ht="38.25">
      <c r="A201" s="252"/>
      <c r="B201" s="76" t="s">
        <v>298</v>
      </c>
      <c r="C201" s="58">
        <v>130</v>
      </c>
      <c r="D201" s="48">
        <v>2.59</v>
      </c>
      <c r="E201" s="48">
        <v>5.22</v>
      </c>
      <c r="F201" s="48">
        <v>14.27</v>
      </c>
      <c r="G201" s="48">
        <v>114.4</v>
      </c>
      <c r="H201" s="58" t="s">
        <v>77</v>
      </c>
    </row>
    <row r="202" spans="1:8" ht="25.5">
      <c r="A202" s="252"/>
      <c r="B202" s="39" t="s">
        <v>173</v>
      </c>
      <c r="C202" s="30">
        <v>180</v>
      </c>
      <c r="D202" s="36">
        <f>0.171*C202/150</f>
        <v>0.20520000000000002</v>
      </c>
      <c r="E202" s="36">
        <f>0.0705*C202/150</f>
        <v>0.0846</v>
      </c>
      <c r="F202" s="36">
        <f>14.8603*C202/150</f>
        <v>17.83236</v>
      </c>
      <c r="G202" s="36">
        <f>60.7*C202/150</f>
        <v>72.84</v>
      </c>
      <c r="H202" s="132" t="s">
        <v>241</v>
      </c>
    </row>
    <row r="203" spans="1:8" ht="15.75">
      <c r="A203" s="252"/>
      <c r="B203" s="76" t="s">
        <v>12</v>
      </c>
      <c r="C203" s="46">
        <v>30</v>
      </c>
      <c r="D203" s="43">
        <f>1.32*C203/20</f>
        <v>1.98</v>
      </c>
      <c r="E203" s="43">
        <f>0.22*C203/20</f>
        <v>0.32999999999999996</v>
      </c>
      <c r="F203" s="43">
        <f>8.2*C203/20</f>
        <v>12.299999999999999</v>
      </c>
      <c r="G203" s="48">
        <f>40*C203/20</f>
        <v>60</v>
      </c>
      <c r="H203" s="132" t="s">
        <v>59</v>
      </c>
    </row>
    <row r="204" spans="1:8" ht="15.75">
      <c r="A204" s="252"/>
      <c r="B204" s="76" t="s">
        <v>40</v>
      </c>
      <c r="C204" s="136">
        <v>30</v>
      </c>
      <c r="D204" s="43">
        <f>2.28*C204/30</f>
        <v>2.28</v>
      </c>
      <c r="E204" s="43">
        <f>0.24*C204/30</f>
        <v>0.23999999999999996</v>
      </c>
      <c r="F204" s="43">
        <f>14.76*C204/30</f>
        <v>14.76</v>
      </c>
      <c r="G204" s="43">
        <f>70.5*C204/30</f>
        <v>70.5</v>
      </c>
      <c r="H204" s="132" t="s">
        <v>58</v>
      </c>
    </row>
    <row r="205" spans="1:8" ht="15.75">
      <c r="A205" s="264" t="s">
        <v>13</v>
      </c>
      <c r="B205" s="265"/>
      <c r="C205" s="42">
        <v>710</v>
      </c>
      <c r="D205" s="54">
        <f>SUM(D198:D204)</f>
        <v>25.474374400000006</v>
      </c>
      <c r="E205" s="54">
        <f>SUM(E198:E204)</f>
        <v>23.39289759999999</v>
      </c>
      <c r="F205" s="54">
        <f>SUM(F198:F204)</f>
        <v>77.8549176</v>
      </c>
      <c r="G205" s="54">
        <f>SUM(G198:G204)</f>
        <v>624.6582464</v>
      </c>
      <c r="H205" s="132"/>
    </row>
    <row r="206" spans="1:8" ht="51">
      <c r="A206" s="251" t="s">
        <v>109</v>
      </c>
      <c r="B206" s="89" t="s">
        <v>268</v>
      </c>
      <c r="C206" s="58" t="s">
        <v>180</v>
      </c>
      <c r="D206" s="48">
        <v>19.175919999999998</v>
      </c>
      <c r="E206" s="48">
        <v>12.29168</v>
      </c>
      <c r="F206" s="48">
        <v>39.07340000000001</v>
      </c>
      <c r="G206" s="48">
        <v>343</v>
      </c>
      <c r="H206" s="58" t="s">
        <v>67</v>
      </c>
    </row>
    <row r="207" spans="1:8" ht="15.75">
      <c r="A207" s="251"/>
      <c r="B207" s="81" t="s">
        <v>41</v>
      </c>
      <c r="C207" s="46">
        <v>180</v>
      </c>
      <c r="D207" s="63">
        <f>0.75*C207/150</f>
        <v>0.9</v>
      </c>
      <c r="E207" s="63">
        <f>0.15*C207/150</f>
        <v>0.18</v>
      </c>
      <c r="F207" s="63">
        <f>15.15*C207/150</f>
        <v>18.18</v>
      </c>
      <c r="G207" s="63">
        <f>69*C207/150</f>
        <v>82.8</v>
      </c>
      <c r="H207" s="132" t="s">
        <v>54</v>
      </c>
    </row>
    <row r="208" spans="1:8" ht="38.25">
      <c r="A208" s="251"/>
      <c r="B208" s="102" t="s">
        <v>264</v>
      </c>
      <c r="C208" s="46">
        <v>50</v>
      </c>
      <c r="D208" s="63">
        <v>3.3621920000000003</v>
      </c>
      <c r="E208" s="63">
        <v>3.238834133333333</v>
      </c>
      <c r="F208" s="63">
        <v>30.689210066666668</v>
      </c>
      <c r="G208" s="63">
        <v>135</v>
      </c>
      <c r="H208" s="194" t="s">
        <v>64</v>
      </c>
    </row>
    <row r="209" spans="1:8" ht="15.75">
      <c r="A209" s="264" t="s">
        <v>50</v>
      </c>
      <c r="B209" s="265"/>
      <c r="C209" s="42">
        <v>370</v>
      </c>
      <c r="D209" s="54">
        <f>SUM(D206:D208)</f>
        <v>23.438111999999997</v>
      </c>
      <c r="E209" s="54">
        <f>SUM(E206:E208)</f>
        <v>15.710514133333332</v>
      </c>
      <c r="F209" s="54">
        <f>SUM(F206:F208)</f>
        <v>87.94261006666667</v>
      </c>
      <c r="G209" s="54">
        <f>SUM(G206:G208)</f>
        <v>560.8</v>
      </c>
      <c r="H209" s="132"/>
    </row>
    <row r="210" spans="1:8" ht="15.75">
      <c r="A210" s="266" t="s">
        <v>37</v>
      </c>
      <c r="B210" s="267"/>
      <c r="C210" s="57">
        <f>C196+C197+C205+C209</f>
        <v>1670</v>
      </c>
      <c r="D210" s="57">
        <f>D196+D197+D205+D209</f>
        <v>66.11421973333333</v>
      </c>
      <c r="E210" s="57">
        <f>E196+E197+E205+E209</f>
        <v>56.71167839999999</v>
      </c>
      <c r="F210" s="57">
        <f>F196+F197+F205+F209</f>
        <v>230.37945833333333</v>
      </c>
      <c r="G210" s="57">
        <f>G196+G197+G205+G209</f>
        <v>1624.2830288957264</v>
      </c>
      <c r="H210" s="142"/>
    </row>
    <row r="211" spans="1:8" ht="15.75">
      <c r="A211" s="22"/>
      <c r="B211" s="81"/>
      <c r="C211" s="47"/>
      <c r="D211" s="70"/>
      <c r="E211" s="70"/>
      <c r="F211" s="70"/>
      <c r="G211" s="70"/>
      <c r="H211" s="29"/>
    </row>
    <row r="212" spans="1:8" s="5" customFormat="1" ht="30" customHeight="1">
      <c r="A212" s="286" t="s">
        <v>182</v>
      </c>
      <c r="B212" s="287"/>
      <c r="C212" s="287"/>
      <c r="D212" s="287"/>
      <c r="E212" s="287"/>
      <c r="F212" s="287"/>
      <c r="G212" s="287"/>
      <c r="H212" s="288"/>
    </row>
    <row r="213" spans="1:8" s="5" customFormat="1" ht="25.5">
      <c r="A213" s="64" t="s">
        <v>94</v>
      </c>
      <c r="B213" s="90" t="s">
        <v>95</v>
      </c>
      <c r="C213" s="289" t="s">
        <v>183</v>
      </c>
      <c r="D213" s="289"/>
      <c r="E213" s="289"/>
      <c r="F213" s="289"/>
      <c r="G213" s="289"/>
      <c r="H213" s="289"/>
    </row>
    <row r="214" spans="1:8" s="5" customFormat="1" ht="15.75">
      <c r="A214" s="282" t="s">
        <v>96</v>
      </c>
      <c r="B214" s="283" t="s">
        <v>97</v>
      </c>
      <c r="C214" s="277">
        <v>360</v>
      </c>
      <c r="D214" s="277"/>
      <c r="E214" s="70"/>
      <c r="F214" s="70"/>
      <c r="G214" s="70"/>
      <c r="H214" s="70"/>
    </row>
    <row r="215" spans="1:8" s="5" customFormat="1" ht="15.75">
      <c r="A215" s="282"/>
      <c r="B215" s="283"/>
      <c r="C215" s="276" t="s">
        <v>106</v>
      </c>
      <c r="D215" s="276"/>
      <c r="E215" s="70"/>
      <c r="F215" s="70"/>
      <c r="G215" s="70"/>
      <c r="H215" s="70"/>
    </row>
    <row r="216" spans="1:8" s="5" customFormat="1" ht="15.75">
      <c r="A216" s="282" t="s">
        <v>28</v>
      </c>
      <c r="B216" s="283" t="s">
        <v>99</v>
      </c>
      <c r="C216" s="277">
        <v>90</v>
      </c>
      <c r="D216" s="277"/>
      <c r="E216" s="70"/>
      <c r="F216" s="70"/>
      <c r="G216" s="70"/>
      <c r="H216" s="70"/>
    </row>
    <row r="217" spans="1:8" s="5" customFormat="1" ht="15.75">
      <c r="A217" s="282"/>
      <c r="B217" s="283"/>
      <c r="C217" s="276" t="s">
        <v>107</v>
      </c>
      <c r="D217" s="276"/>
      <c r="E217" s="70"/>
      <c r="F217" s="70"/>
      <c r="G217" s="70"/>
      <c r="H217" s="70"/>
    </row>
    <row r="218" spans="1:8" s="5" customFormat="1" ht="15.75">
      <c r="A218" s="282" t="s">
        <v>11</v>
      </c>
      <c r="B218" s="283" t="s">
        <v>101</v>
      </c>
      <c r="C218" s="277">
        <v>630</v>
      </c>
      <c r="D218" s="277"/>
      <c r="E218" s="70"/>
      <c r="F218" s="70"/>
      <c r="G218" s="70"/>
      <c r="H218" s="70"/>
    </row>
    <row r="219" spans="1:8" s="5" customFormat="1" ht="15.75">
      <c r="A219" s="282"/>
      <c r="B219" s="283"/>
      <c r="C219" s="276" t="s">
        <v>108</v>
      </c>
      <c r="D219" s="276"/>
      <c r="E219" s="70"/>
      <c r="F219" s="70"/>
      <c r="G219" s="70"/>
      <c r="H219" s="70"/>
    </row>
    <row r="220" spans="1:8" s="5" customFormat="1" ht="15.75">
      <c r="A220" s="71"/>
      <c r="B220" s="91"/>
      <c r="C220" s="280">
        <v>540</v>
      </c>
      <c r="D220" s="281"/>
      <c r="E220" s="70"/>
      <c r="F220" s="70"/>
      <c r="G220" s="70"/>
      <c r="H220" s="22"/>
    </row>
    <row r="221" spans="1:8" s="5" customFormat="1" ht="31.5">
      <c r="A221" s="72" t="s">
        <v>109</v>
      </c>
      <c r="B221" s="92" t="s">
        <v>112</v>
      </c>
      <c r="C221" s="278" t="s">
        <v>114</v>
      </c>
      <c r="D221" s="279"/>
      <c r="E221" s="70"/>
      <c r="F221" s="70"/>
      <c r="G221" s="70"/>
      <c r="H221" s="22"/>
    </row>
    <row r="222" spans="1:8" ht="15.75">
      <c r="A222" s="294"/>
      <c r="B222" s="295"/>
      <c r="C222" s="295"/>
      <c r="D222" s="295"/>
      <c r="E222" s="295"/>
      <c r="F222" s="295"/>
      <c r="G222" s="295"/>
      <c r="H222" s="296"/>
    </row>
    <row r="223" spans="1:8" ht="15.75">
      <c r="A223" s="284" t="s">
        <v>103</v>
      </c>
      <c r="B223" s="285"/>
      <c r="C223" s="61"/>
      <c r="D223" s="61">
        <f>(D14+D35+D55+D74+D94+D115+D136+D158+D176+D196)/10</f>
        <v>11.2757557218638</v>
      </c>
      <c r="E223" s="61">
        <f>(E14+E35+E55+E74+E94+E115+E136+E158+E176+E196)/10</f>
        <v>13.097107995746189</v>
      </c>
      <c r="F223" s="61">
        <f>(F14+F35+F55+F74+F94+F115+F136+F158+F176+F196)/10</f>
        <v>53.84083466515026</v>
      </c>
      <c r="G223" s="61">
        <f>(G14+G35+G55+G74+G94+G115+G136+G158+G176+G196)/10</f>
        <v>357.59184259308097</v>
      </c>
      <c r="H223" s="73"/>
    </row>
    <row r="224" spans="1:8" ht="15.75">
      <c r="A224" s="284" t="s">
        <v>104</v>
      </c>
      <c r="B224" s="285"/>
      <c r="C224" s="61"/>
      <c r="D224" s="61">
        <f>(D23+D44+D64+D82+D103+D124+D146+D166+D185+D205)/10</f>
        <v>24.606951466303034</v>
      </c>
      <c r="E224" s="61">
        <f>(E23+E44+E64+E82+E103+E124+E146+E166+E185+E205)/10</f>
        <v>24.219971420969692</v>
      </c>
      <c r="F224" s="61">
        <f>(F23+F44+F64+F82+F103+F124+F146+F166+F185+F205)/10</f>
        <v>85.05405696242424</v>
      </c>
      <c r="G224" s="61">
        <f>(G23+G44+G64+G82+G103+G124+G146+G166+G185+G205)/10</f>
        <v>647.4395270327275</v>
      </c>
      <c r="H224" s="73"/>
    </row>
    <row r="225" spans="1:8" ht="15.75">
      <c r="A225" s="284" t="s">
        <v>111</v>
      </c>
      <c r="B225" s="285"/>
      <c r="C225" s="61"/>
      <c r="D225" s="61">
        <f aca="true" t="shared" si="0" ref="D225:G226">(D29+D49+D68+D88+D107+D130+D152+D170+D190+D209)/10</f>
        <v>23.13355853179487</v>
      </c>
      <c r="E225" s="61">
        <f t="shared" si="0"/>
        <v>18.802814332991453</v>
      </c>
      <c r="F225" s="61">
        <f t="shared" si="0"/>
        <v>66.45605271444444</v>
      </c>
      <c r="G225" s="61">
        <f t="shared" si="0"/>
        <v>523.4333181846155</v>
      </c>
      <c r="H225" s="73"/>
    </row>
    <row r="226" spans="1:8" ht="15.75">
      <c r="A226" s="284" t="s">
        <v>105</v>
      </c>
      <c r="B226" s="285"/>
      <c r="C226" s="61"/>
      <c r="D226" s="61">
        <f t="shared" si="0"/>
        <v>60.6542657199617</v>
      </c>
      <c r="E226" s="61">
        <f t="shared" si="0"/>
        <v>57.31189374970734</v>
      </c>
      <c r="F226" s="61">
        <f t="shared" si="0"/>
        <v>217.99494434201898</v>
      </c>
      <c r="G226" s="61">
        <f t="shared" si="0"/>
        <v>1598.8446878104237</v>
      </c>
      <c r="H226" s="73"/>
    </row>
  </sheetData>
  <sheetProtection/>
  <mergeCells count="108">
    <mergeCell ref="A130:B130"/>
    <mergeCell ref="A68:B68"/>
    <mergeCell ref="A51:H51"/>
    <mergeCell ref="A50:B50"/>
    <mergeCell ref="A49:B49"/>
    <mergeCell ref="A223:B223"/>
    <mergeCell ref="A222:H222"/>
    <mergeCell ref="A192:H192"/>
    <mergeCell ref="A191:B191"/>
    <mergeCell ref="A190:B190"/>
    <mergeCell ref="A224:B224"/>
    <mergeCell ref="A225:B225"/>
    <mergeCell ref="A226:B226"/>
    <mergeCell ref="A212:H212"/>
    <mergeCell ref="C213:H213"/>
    <mergeCell ref="A214:A215"/>
    <mergeCell ref="B214:B215"/>
    <mergeCell ref="C214:D214"/>
    <mergeCell ref="A216:A217"/>
    <mergeCell ref="B216:B217"/>
    <mergeCell ref="C221:D221"/>
    <mergeCell ref="C217:D217"/>
    <mergeCell ref="C218:D218"/>
    <mergeCell ref="C219:D219"/>
    <mergeCell ref="C220:D220"/>
    <mergeCell ref="A218:A219"/>
    <mergeCell ref="B218:B219"/>
    <mergeCell ref="A210:B210"/>
    <mergeCell ref="C215:D215"/>
    <mergeCell ref="C216:D216"/>
    <mergeCell ref="A193:A195"/>
    <mergeCell ref="A196:B196"/>
    <mergeCell ref="A198:A204"/>
    <mergeCell ref="A205:B205"/>
    <mergeCell ref="A206:A208"/>
    <mergeCell ref="A209:B209"/>
    <mergeCell ref="A178:A184"/>
    <mergeCell ref="A185:B185"/>
    <mergeCell ref="A186:A189"/>
    <mergeCell ref="A167:A169"/>
    <mergeCell ref="A170:B170"/>
    <mergeCell ref="A171:B171"/>
    <mergeCell ref="A172:H172"/>
    <mergeCell ref="A173:A175"/>
    <mergeCell ref="A176:B176"/>
    <mergeCell ref="A152:B152"/>
    <mergeCell ref="A154:H154"/>
    <mergeCell ref="A155:A157"/>
    <mergeCell ref="A158:B158"/>
    <mergeCell ref="A160:A165"/>
    <mergeCell ref="A166:B166"/>
    <mergeCell ref="A132:H132"/>
    <mergeCell ref="A133:A135"/>
    <mergeCell ref="A136:B136"/>
    <mergeCell ref="A139:A145"/>
    <mergeCell ref="A146:B146"/>
    <mergeCell ref="A147:A151"/>
    <mergeCell ref="A112:A114"/>
    <mergeCell ref="A115:B115"/>
    <mergeCell ref="A117:A123"/>
    <mergeCell ref="A124:B124"/>
    <mergeCell ref="A125:A129"/>
    <mergeCell ref="A103:B103"/>
    <mergeCell ref="A104:A106"/>
    <mergeCell ref="A107:B107"/>
    <mergeCell ref="A109:C109"/>
    <mergeCell ref="A110:H110"/>
    <mergeCell ref="A111:H111"/>
    <mergeCell ref="A88:B88"/>
    <mergeCell ref="A89:B89"/>
    <mergeCell ref="A90:H90"/>
    <mergeCell ref="A91:A93"/>
    <mergeCell ref="A94:B94"/>
    <mergeCell ref="A96:A102"/>
    <mergeCell ref="A70:H70"/>
    <mergeCell ref="A71:A73"/>
    <mergeCell ref="A74:B74"/>
    <mergeCell ref="A76:A81"/>
    <mergeCell ref="A82:B82"/>
    <mergeCell ref="A83:A87"/>
    <mergeCell ref="A52:A54"/>
    <mergeCell ref="A55:B55"/>
    <mergeCell ref="A57:A63"/>
    <mergeCell ref="A64:B64"/>
    <mergeCell ref="A65:A67"/>
    <mergeCell ref="A37:A43"/>
    <mergeCell ref="A44:B44"/>
    <mergeCell ref="A45:A48"/>
    <mergeCell ref="A24:A28"/>
    <mergeCell ref="A29:B29"/>
    <mergeCell ref="A30:B30"/>
    <mergeCell ref="A31:H31"/>
    <mergeCell ref="A32:A34"/>
    <mergeCell ref="A35:B35"/>
    <mergeCell ref="A9:H9"/>
    <mergeCell ref="A10:H10"/>
    <mergeCell ref="A11:A13"/>
    <mergeCell ref="A14:B14"/>
    <mergeCell ref="A16:A22"/>
    <mergeCell ref="A23:B23"/>
    <mergeCell ref="G2:H2"/>
    <mergeCell ref="A5:H5"/>
    <mergeCell ref="A6:B6"/>
    <mergeCell ref="A7:A8"/>
    <mergeCell ref="B7:B8"/>
    <mergeCell ref="C7:C8"/>
    <mergeCell ref="D7:F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2021-05-18T08:25:44Z</cp:lastPrinted>
  <dcterms:created xsi:type="dcterms:W3CDTF">2006-09-16T00:00:00Z</dcterms:created>
  <dcterms:modified xsi:type="dcterms:W3CDTF">2024-03-02T16:06:08Z</dcterms:modified>
  <cp:category/>
  <cp:version/>
  <cp:contentType/>
  <cp:contentStatus/>
</cp:coreProperties>
</file>